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8820" windowHeight="12240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Summary'!$B$2:$F$58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R.Pennybaker</author>
  </authors>
  <commentList>
    <comment ref="D23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Jul'09 initially billed at May 26, 2009 published rate $1592.08.  True-up up to Aug 31, 2009 rate $1616.17 in routine monthly billing.  Aug'09 forward billed at Aug 31, 2009 rate.</t>
        </r>
      </text>
    </comment>
    <comment ref="D6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Speicial 1-off 13mo trueup ("as-filed" to "
settlement" methodology).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<sst xmlns="http://schemas.openxmlformats.org/spreadsheetml/2006/main" count="1006" uniqueCount="335">
  <si>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</si>
  <si>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</si>
  <si>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</si>
  <si>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</si>
  <si>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</si>
  <si>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</si>
  <si>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</si>
  <si>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</si>
  <si>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</si>
  <si>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</si>
  <si>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</si>
  <si>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</si>
  <si>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</si>
  <si>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</si>
  <si>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</si>
  <si>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</si>
  <si>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</si>
  <si>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</si>
  <si>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</si>
  <si>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</si>
  <si>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</si>
  <si>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</si>
  <si>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</si>
  <si>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</si>
  <si>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</si>
  <si>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</si>
  <si>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</si>
  <si>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</si>
  <si>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</si>
  <si>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</si>
  <si>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</si>
  <si>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</si>
  <si>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</si>
  <si>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</si>
  <si>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</si>
  <si>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</si>
  <si>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</si>
  <si>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</si>
  <si>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</si>
  <si>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</si>
  <si>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</si>
  <si>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</si>
  <si>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</si>
  <si>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</si>
  <si>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</si>
  <si>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</si>
  <si>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</si>
  <si>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</si>
  <si>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</si>
  <si>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</si>
  <si>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</si>
  <si>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</si>
  <si>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</si>
  <si>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</si>
  <si>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</si>
  <si>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</si>
  <si>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</si>
  <si>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</si>
  <si>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</si>
  <si>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</si>
  <si>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</si>
  <si>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</si>
  <si>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</si>
  <si>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</si>
  <si>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</si>
  <si>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</si>
  <si>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</si>
  <si>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</si>
  <si>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</si>
  <si>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</si>
  <si>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</si>
  <si>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</si>
  <si>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</si>
  <si>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</si>
  <si>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</si>
  <si>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</si>
  <si>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</si>
  <si>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</si>
  <si>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</si>
  <si>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</si>
  <si>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</si>
  <si>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</si>
  <si>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</si>
  <si>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</si>
  <si>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</si>
  <si>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</si>
  <si>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</si>
  <si>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</si>
  <si>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</si>
  <si>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</si>
  <si>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</si>
  <si>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</si>
  <si>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</si>
  <si>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</si>
  <si>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</si>
  <si>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</si>
  <si>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</si>
  <si>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</si>
  <si>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</si>
  <si>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</si>
  <si>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</si>
  <si>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</si>
  <si>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</si>
  <si>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</si>
  <si>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</si>
  <si>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</si>
  <si>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</si>
  <si>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</si>
  <si>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</si>
  <si>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</si>
  <si>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</si>
  <si>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</si>
  <si>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</si>
  <si>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</si>
  <si>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</si>
  <si>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</si>
  <si>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LRS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</si>
  <si>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</si>
  <si>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</si>
  <si>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</si>
  <si>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</si>
  <si>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</si>
  <si>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</si>
  <si>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</si>
  <si>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</si>
  <si>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</si>
  <si>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</si>
  <si>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</si>
  <si>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</si>
  <si>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</si>
  <si>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</si>
  <si>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</si>
  <si>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</si>
  <si>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</si>
  <si>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</si>
  <si>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</si>
  <si>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</si>
  <si>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</si>
  <si>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</si>
  <si>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</si>
  <si>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</si>
  <si>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</si>
  <si>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</si>
  <si>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</si>
  <si>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</si>
  <si>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</si>
  <si>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</si>
  <si>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</si>
  <si>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</si>
  <si>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</si>
  <si>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</si>
  <si>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</si>
  <si>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</si>
  <si>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</si>
  <si>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</si>
  <si>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</si>
  <si>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</si>
  <si>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</si>
  <si>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</si>
  <si>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</si>
  <si>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</si>
  <si>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</si>
  <si>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</si>
  <si>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</si>
  <si>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</si>
  <si>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</si>
  <si>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</si>
  <si>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</si>
  <si>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</si>
  <si>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</si>
  <si>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</si>
  <si>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</si>
  <si>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</si>
  <si>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N/A</t>
  </si>
  <si>
    <t>Stated Revenue Requirement (pre-formula Rate)</t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</si>
  <si>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</si>
  <si>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</si>
  <si>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"Settlement" FR effective Mar. 1, 2009 (interim basis).</t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</si>
  <si>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</si>
  <si>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</si>
  <si>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>Annual Update posted May 26, 2009.</t>
  </si>
  <si>
    <t>Annual Update ("as-filed" method) posted May 2008.</t>
  </si>
  <si>
    <r>
      <t>Transmission Owner = American Electric Power</t>
    </r>
    <r>
      <rPr>
        <u val="single"/>
        <sz val="10"/>
        <rFont val="Arial Narrow"/>
        <family val="2"/>
      </rPr>
      <t xml:space="preserve"> (ER07-1069)</t>
    </r>
  </si>
  <si>
    <t>"As-filed" ARR = $140,261,459 via LRS eff. 2/1/2008.</t>
  </si>
  <si>
    <t>"As-filed" ARR = $141,555,128 via LRS eff. 7/1/2008.</t>
  </si>
  <si>
    <t xml:space="preserve">    Comments</t>
  </si>
  <si>
    <t>Note: 13mo special trueup rates were based on known 2008 12CP.</t>
  </si>
  <si>
    <t>06/2009, 3.25</t>
  </si>
  <si>
    <t>07/2009, 3.25</t>
  </si>
  <si>
    <t xml:space="preserve">Per 5/26/09 Annual Update:  CY2008 True-Up Rate = $1,499.46 </t>
  </si>
  <si>
    <t xml:space="preserve">            Proj ARR eff. 7/1/09 = $144,968,809 via rate = $1,592.08</t>
  </si>
  <si>
    <t xml:space="preserve">                        Proj ARR eff. 7/1/09 = $147,162,500 via rate = $1,616.17</t>
  </si>
  <si>
    <t xml:space="preserve">    Non-Affiliate
    Subtotals</t>
  </si>
  <si>
    <t>TOTALS</t>
  </si>
  <si>
    <t>Total
True-Up Surcharge / (Refund)</t>
  </si>
  <si>
    <t>08/2009, 3.25</t>
  </si>
  <si>
    <t>Per 8/31/09 FINAL Annual Update:  CY2008 True-Up Rate = $1,528.90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</si>
  <si>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</si>
  <si>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</si>
  <si>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</si>
  <si>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</si>
  <si>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</si>
  <si>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</si>
  <si>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</si>
  <si>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</si>
  <si>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</si>
  <si>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</si>
  <si>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</si>
  <si>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</si>
  <si>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</si>
  <si>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</si>
  <si>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</si>
  <si>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</si>
  <si>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AEP Formula Rate -- FERC Docket ER07-1069</t>
  </si>
  <si>
    <t>Sum of Invoiced*** Charge (proj.)</t>
  </si>
  <si>
    <t xml:space="preserve">  Customer</t>
  </si>
  <si>
    <t>Per 5/25/10 Annual Update:  CY2009 True-Up Rate = $1,358.48</t>
  </si>
  <si>
    <t xml:space="preserve">                        Proj ARR eff. 7/1/10 = $123,331,614 via rate = $1,414.16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</si>
  <si>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</si>
  <si>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</si>
  <si>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</si>
  <si>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</si>
  <si>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</si>
  <si>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</si>
  <si>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</si>
  <si>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 xml:space="preserve">   2010 "Corrected" Update published 3/29/2011 has "CY2009" trueup rate</t>
  </si>
  <si>
    <t xml:space="preserve">    of $1,394.11 which will be implemented for May 2011 service billing in early June 2011.</t>
  </si>
  <si>
    <t xml:space="preserve">   Initial CY2009 trueup rate as of 5/25/2010 update was 1,359.10 but never implemented.</t>
  </si>
  <si>
    <t>3rd Party Totals</t>
  </si>
  <si>
    <t>SPP Zone1 Totals (incl. PSO/SWE)</t>
  </si>
  <si>
    <t>Surcharge / (Refund)</t>
  </si>
  <si>
    <t>2011 update projected ARR = $146,234,083 // PTP rate $1,518.49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</si>
  <si>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</si>
  <si>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</si>
  <si>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</si>
  <si>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</si>
  <si>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</si>
  <si>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</si>
  <si>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</si>
  <si>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</si>
  <si>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</si>
  <si>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</si>
  <si>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 xml:space="preserve">                        this rate back to 7/1/2011.</t>
  </si>
  <si>
    <t xml:space="preserve">                        be eff. Jan 1, 2011.  Thus, we will reqeust SPP to NOT use the </t>
  </si>
  <si>
    <t xml:space="preserve">10/19/2011:  CY2010 trueup rate of $1,451.30 published 5/24/2011 was </t>
  </si>
  <si>
    <t>not implemented by SPP before publishing the "revised" true-up rate $1458.03.</t>
  </si>
  <si>
    <t>2010 "Corrected" projected rate of $$1,472.02 was never implemented by SPP.</t>
  </si>
  <si>
    <t>Using the original May 2010 Update projected rate of $1,414.66 for billing which</t>
  </si>
  <si>
    <t>will be trued-up by action of 2011 and 2012 updates.</t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</si>
  <si>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</si>
  <si>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</si>
  <si>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</si>
  <si>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</si>
  <si>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</si>
  <si>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</si>
  <si>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</si>
  <si>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</si>
  <si>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</si>
  <si>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</si>
  <si>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</si>
  <si>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</si>
  <si>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</si>
  <si>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</si>
  <si>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</si>
  <si>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</si>
  <si>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10/19/2011:  SPP has filed this rate in its OATT &amp; will commence billing</t>
  </si>
  <si>
    <t>"Revised" 2011 update projected ARR = $147,332,963 // PTP rate $1,529.90</t>
  </si>
  <si>
    <t xml:space="preserve">   12/21/2011:  SPP has filed a formulaic process for its tariff sheets planned to </t>
  </si>
  <si>
    <t xml:space="preserve">                       "revised" rates since they'll be trued-up via the 2012 update.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</si>
  <si>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</si>
  <si>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</si>
  <si>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</si>
  <si>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</si>
  <si>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</si>
  <si>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</si>
  <si>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CY2011 True-Up ARR = $140,123,682 // PTP rate $1,403.03</t>
  </si>
  <si>
    <t>2012 update projected ARR = $144,466,358 // PTP rate $1,446.51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</si>
  <si>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</si>
  <si>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</si>
  <si>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</si>
  <si>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</si>
  <si>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</si>
  <si>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</si>
  <si>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</si>
  <si>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</si>
  <si>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</si>
  <si>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</si>
  <si>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</si>
  <si>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</si>
  <si>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</si>
  <si>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</si>
  <si>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</si>
  <si>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</si>
  <si>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</si>
  <si>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</si>
  <si>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</si>
  <si>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</si>
  <si>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</si>
  <si>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</si>
  <si>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</si>
  <si>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</si>
  <si>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</si>
  <si>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</si>
  <si>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</si>
  <si>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</si>
  <si>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</si>
  <si>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</si>
  <si>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</si>
  <si>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</si>
  <si>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</si>
  <si>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</si>
  <si>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</si>
  <si>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</si>
  <si>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</si>
  <si>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</si>
  <si>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</si>
  <si>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</si>
  <si>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</si>
  <si>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</si>
  <si>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</si>
  <si>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</si>
  <si>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</si>
  <si>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</si>
  <si>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</si>
  <si>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</si>
  <si>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</si>
  <si>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</si>
  <si>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</si>
  <si>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from 2012 Update*</t>
  </si>
  <si>
    <t xml:space="preserve"> from 2013 update*</t>
  </si>
  <si>
    <t>TBD</t>
  </si>
  <si>
    <t>2013 update projected ARR = $155,652,292 // PTP rate $1,586.22</t>
  </si>
  <si>
    <t>CY2012 True-Up ARR = $148,229,152 // PTP rate $1,510.57</t>
  </si>
  <si>
    <t>CY2013 True-Up ARR = $145,213,454 // PTP rate = $1,491.39</t>
  </si>
  <si>
    <t>2014 update projected ARR = $154,431,445 // PTP rate = $1,586.06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</si>
</sst>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14" fontId="8" fillId="33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9" fillId="33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3" fillId="35" borderId="52" xfId="0" applyFont="1" applyFill="1" applyBorder="1" applyAlignment="1">
      <alignment horizontal="center" wrapText="1"/>
    </xf>
    <xf numFmtId="0" fontId="13" fillId="35" borderId="53" xfId="0" applyFont="1" applyFill="1" applyBorder="1" applyAlignment="1">
      <alignment horizontal="center" wrapText="1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4" xfId="0" applyNumberFormat="1" applyFill="1" applyBorder="1" applyAlignment="1">
      <alignment horizontal="center"/>
    </xf>
    <xf numFmtId="172" fontId="0" fillId="36" borderId="55" xfId="0" applyNumberFormat="1" applyFill="1" applyBorder="1" applyAlignment="1">
      <alignment horizontal="center"/>
    </xf>
    <xf numFmtId="44" fontId="13" fillId="36" borderId="54" xfId="44" applyFont="1" applyFill="1" applyBorder="1" applyAlignment="1" quotePrefix="1">
      <alignment horizontal="center" wrapText="1"/>
    </xf>
    <xf numFmtId="0" fontId="13" fillId="36" borderId="32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8" fontId="13" fillId="36" borderId="57" xfId="0" applyNumberFormat="1" applyFont="1" applyFill="1" applyBorder="1" applyAlignment="1">
      <alignment horizontal="center"/>
    </xf>
    <xf numFmtId="8" fontId="13" fillId="36" borderId="33" xfId="0" applyNumberFormat="1" applyFont="1" applyFill="1" applyBorder="1" applyAlignment="1">
      <alignment horizontal="center"/>
    </xf>
    <xf numFmtId="8" fontId="13" fillId="36" borderId="47" xfId="0" applyNumberFormat="1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3" fillId="36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44" fontId="13" fillId="36" borderId="57" xfId="44" applyFont="1" applyFill="1" applyBorder="1" applyAlignment="1">
      <alignment/>
    </xf>
    <xf numFmtId="44" fontId="13" fillId="36" borderId="55" xfId="44" applyFont="1" applyFill="1" applyBorder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3" fillId="0" borderId="0" xfId="0" applyFont="1" applyAlignment="1">
      <alignment horizontal="left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13" fillId="35" borderId="0" xfId="0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0" fontId="22" fillId="33" borderId="0" xfId="0" applyFont="1" applyFill="1" applyAlignment="1">
      <alignment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172" fontId="0" fillId="0" borderId="57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13" fillId="0" borderId="0" xfId="0" applyFont="1" applyFill="1" applyAlignment="1">
      <alignment/>
    </xf>
    <xf numFmtId="44" fontId="13" fillId="38" borderId="57" xfId="44" applyFont="1" applyFill="1" applyBorder="1" applyAlignment="1">
      <alignment/>
    </xf>
    <xf numFmtId="44" fontId="13" fillId="36" borderId="55" xfId="0" applyNumberFormat="1" applyFont="1" applyFill="1" applyBorder="1" applyAlignment="1">
      <alignment horizontal="center"/>
    </xf>
    <xf numFmtId="44" fontId="13" fillId="38" borderId="55" xfId="44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/>
    </xf>
    <xf numFmtId="10" fontId="0" fillId="39" borderId="0" xfId="59" applyNumberFormat="1" applyFont="1" applyFill="1" applyAlignment="1" quotePrefix="1">
      <alignment horizontal="center"/>
    </xf>
    <xf numFmtId="0" fontId="0" fillId="0" borderId="0" xfId="0" applyFont="1" applyAlignment="1" quotePrefix="1">
      <alignment horizontal="left"/>
    </xf>
    <xf numFmtId="44" fontId="13" fillId="39" borderId="57" xfId="44" applyFont="1" applyFill="1" applyBorder="1" applyAlignment="1">
      <alignment/>
    </xf>
    <xf numFmtId="44" fontId="13" fillId="39" borderId="55" xfId="44" applyFont="1" applyFill="1" applyBorder="1" applyAlignment="1">
      <alignment/>
    </xf>
    <xf numFmtId="44" fontId="13" fillId="36" borderId="56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0" fillId="0" borderId="0" xfId="59" applyNumberFormat="1" applyFont="1" applyBorder="1" applyAlignment="1" quotePrefix="1">
      <alignment horizontal="left"/>
    </xf>
    <xf numFmtId="2" fontId="13" fillId="34" borderId="0" xfId="0" applyNumberFormat="1" applyFont="1" applyFill="1" applyBorder="1" applyAlignment="1">
      <alignment horizontal="center"/>
    </xf>
    <xf numFmtId="44" fontId="13" fillId="18" borderId="57" xfId="44" applyFont="1" applyFill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39" borderId="0" xfId="59" applyNumberFormat="1" applyFont="1" applyFill="1" applyAlignment="1" quotePrefix="1">
      <alignment horizontal="center"/>
    </xf>
    <xf numFmtId="1" fontId="9" fillId="33" borderId="11" xfId="0" applyNumberFormat="1" applyFont="1" applyFill="1" applyBorder="1" applyAlignment="1">
      <alignment horizontal="center"/>
    </xf>
    <xf numFmtId="43" fontId="13" fillId="13" borderId="56" xfId="0" applyNumberFormat="1" applyFont="1" applyFill="1" applyBorder="1" applyAlignment="1">
      <alignment horizontal="center"/>
    </xf>
    <xf numFmtId="43" fontId="13" fillId="13" borderId="57" xfId="0" applyNumberFormat="1" applyFont="1" applyFill="1" applyBorder="1" applyAlignment="1">
      <alignment horizontal="center"/>
    </xf>
    <xf numFmtId="43" fontId="13" fillId="13" borderId="55" xfId="0" applyNumberFormat="1" applyFont="1" applyFill="1" applyBorder="1" applyAlignment="1">
      <alignment horizontal="center"/>
    </xf>
    <xf numFmtId="0" fontId="24" fillId="0" borderId="56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55" xfId="0" applyFont="1" applyBorder="1" applyAlignment="1">
      <alignment horizontal="right"/>
    </xf>
    <xf numFmtId="44" fontId="13" fillId="9" borderId="57" xfId="44" applyFont="1" applyFill="1" applyBorder="1" applyAlignment="1">
      <alignment/>
    </xf>
    <xf numFmtId="44" fontId="13" fillId="9" borderId="56" xfId="44" applyFont="1" applyFill="1" applyBorder="1" applyAlignment="1">
      <alignment/>
    </xf>
    <xf numFmtId="44" fontId="13" fillId="9" borderId="55" xfId="44" applyFont="1" applyFill="1" applyBorder="1" applyAlignment="1">
      <alignment/>
    </xf>
    <xf numFmtId="0" fontId="0" fillId="13" borderId="0" xfId="0" applyFont="1" applyFill="1" applyAlignment="1">
      <alignment/>
    </xf>
    <xf numFmtId="0" fontId="0" fillId="18" borderId="0" xfId="0" applyFont="1" applyFill="1" applyAlignment="1">
      <alignment/>
    </xf>
    <xf numFmtId="172" fontId="0" fillId="39" borderId="32" xfId="0" applyNumberFormat="1" applyFill="1" applyBorder="1" applyAlignment="1">
      <alignment horizontal="center"/>
    </xf>
    <xf numFmtId="172" fontId="0" fillId="39" borderId="57" xfId="0" applyNumberFormat="1" applyFill="1" applyBorder="1" applyAlignment="1">
      <alignment horizontal="center"/>
    </xf>
    <xf numFmtId="172" fontId="0" fillId="39" borderId="55" xfId="0" applyNumberFormat="1" applyFill="1" applyBorder="1" applyAlignment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0" fontId="61" fillId="40" borderId="0" xfId="0" applyFont="1" applyFill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481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48">
        <d v="2013-01-01T00:00:00.000"/>
        <d v="2013-02-01T00:00:00.000"/>
        <d v="2013-03-01T00:00:00.000"/>
        <d v="2013-04-01T00:00:00.000"/>
        <d v="2013-05-01T00:00:00.000"/>
        <d v="2013-06-01T00:00:00.000"/>
        <d v="2013-07-01T00:00:00.000"/>
        <d v="2013-08-01T00:00:00.000"/>
        <d v="2013-09-01T00:00:00.000"/>
        <d v="2013-10-01T00:00:00.000"/>
        <d v="2013-11-01T00:00:00.000"/>
        <d v="2013-12-01T00:00:00.000"/>
        <d v="2010-07-01T00:00:00.000"/>
        <d v="2011-07-01T00:00:00.000"/>
        <d v="2012-07-01T00:00:00.000"/>
        <d v="2010-06-01T00:00:00.000"/>
        <d v="2011-06-01T00:00:00.000"/>
        <d v="2012-06-01T00:00:00.000"/>
        <d v="2010-05-01T00:00:00.000"/>
        <d v="2011-05-01T00:00:00.000"/>
        <d v="2012-05-01T00:00:00.000"/>
        <d v="2010-04-01T00:00:00.000"/>
        <d v="2011-04-01T00:00:00.000"/>
        <d v="2012-04-01T00:00:00.000"/>
        <d v="2010-03-01T00:00:00.000"/>
        <d v="2011-03-01T00:00:00.000"/>
        <d v="2012-03-01T00:00:00.000"/>
        <d v="2010-02-01T00:00:00.000"/>
        <d v="2010-12-01T00:00:00.000"/>
        <d v="2011-02-01T00:00:00.000"/>
        <d v="2011-12-01T00:00:00.000"/>
        <d v="2012-02-01T00:00:00.000"/>
        <d v="2012-12-01T00:00:00.000"/>
        <d v="2010-01-01T00:00:00.000"/>
        <d v="2010-11-01T00:00:00.000"/>
        <d v="2011-01-01T00:00:00.000"/>
        <d v="2011-11-01T00:00:00.000"/>
        <d v="2012-01-01T00:00:00.000"/>
        <d v="2012-11-01T00:00:00.000"/>
        <d v="2010-10-01T00:00:00.000"/>
        <d v="2011-10-01T00:00:00.000"/>
        <d v="2012-10-01T00:00:00.000"/>
        <d v="2010-09-01T00:00:00.000"/>
        <d v="2011-09-01T00:00:00.000"/>
        <d v="2012-09-01T00:00:00.000"/>
        <d v="2010-08-01T00:00:00.000"/>
        <d v="2011-08-01T00:00:00.000"/>
        <d v="2012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49">
        <item m="1" x="33"/>
        <item m="1" x="27"/>
        <item m="1" x="24"/>
        <item m="1" x="21"/>
        <item m="1" x="18"/>
        <item m="1" x="15"/>
        <item m="1" x="12"/>
        <item m="1" x="45"/>
        <item m="1" x="42"/>
        <item m="1" x="39"/>
        <item m="1" x="34"/>
        <item m="1" x="28"/>
        <item m="1" x="35"/>
        <item m="1" x="29"/>
        <item m="1" x="25"/>
        <item m="1" x="22"/>
        <item m="1" x="19"/>
        <item m="1" x="16"/>
        <item m="1" x="13"/>
        <item m="1" x="46"/>
        <item m="1" x="43"/>
        <item m="1" x="40"/>
        <item m="1" x="36"/>
        <item m="1" x="30"/>
        <item m="1" x="37"/>
        <item m="1" x="31"/>
        <item m="1" x="26"/>
        <item m="1" x="23"/>
        <item m="1" x="20"/>
        <item m="1" x="17"/>
        <item m="1" x="14"/>
        <item m="1" x="47"/>
        <item m="1" x="44"/>
        <item m="1" x="41"/>
        <item m="1" x="38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249</v>
      </c>
    </row>
    <row r="3" spans="1:2" ht="12.75">
      <c r="A3" s="48">
        <v>1</v>
      </c>
      <c r="B3" s="25" t="s">
        <v>252</v>
      </c>
    </row>
    <row r="4" spans="1:2" ht="12.75">
      <c r="A4" s="48">
        <v>2</v>
      </c>
      <c r="B4" s="25" t="s">
        <v>251</v>
      </c>
    </row>
    <row r="5" spans="1:2" ht="12.75">
      <c r="A5" s="48">
        <v>3</v>
      </c>
      <c r="B5" s="25" t="s">
        <v>253</v>
      </c>
    </row>
    <row r="6" spans="1:2" ht="12.75">
      <c r="A6" s="48">
        <v>4</v>
      </c>
      <c r="B6" s="332" t="s">
        <v>321</v>
      </c>
    </row>
    <row r="7" spans="1:2" ht="12.75">
      <c r="A7" s="48">
        <v>5</v>
      </c>
      <c r="B7" s="25" t="s">
        <v>256</v>
      </c>
    </row>
    <row r="8" spans="1:2" ht="12.75">
      <c r="A8" s="48">
        <v>6</v>
      </c>
      <c r="B8" s="25" t="s">
        <v>257</v>
      </c>
    </row>
    <row r="9" spans="1:2" ht="12.75">
      <c r="A9" s="48">
        <v>7</v>
      </c>
      <c r="B9" s="2" t="s">
        <v>258</v>
      </c>
    </row>
    <row r="10" spans="1:2" ht="12.75">
      <c r="A10" s="48">
        <v>8</v>
      </c>
      <c r="B10" s="25" t="s">
        <v>261</v>
      </c>
    </row>
    <row r="11" spans="1:2" ht="12.75">
      <c r="A11" s="48"/>
      <c r="B11" s="25" t="s">
        <v>262</v>
      </c>
    </row>
    <row r="12" spans="1:2" ht="12.75">
      <c r="A12" s="48"/>
      <c r="B12" s="2" t="s">
        <v>263</v>
      </c>
    </row>
    <row r="13" spans="1:2" ht="12.75">
      <c r="A13" s="48"/>
      <c r="B13" s="2" t="s">
        <v>264</v>
      </c>
    </row>
    <row r="14" spans="1:2" ht="12.75">
      <c r="A14" s="48">
        <v>9</v>
      </c>
      <c r="B14" s="25" t="s">
        <v>270</v>
      </c>
    </row>
    <row r="15" spans="1:2" ht="12.75">
      <c r="A15" s="48">
        <v>10</v>
      </c>
      <c r="B15" s="25" t="s">
        <v>272</v>
      </c>
    </row>
    <row r="16" spans="1:2" ht="12.75">
      <c r="A16" s="48">
        <v>11</v>
      </c>
      <c r="B16" s="25" t="s">
        <v>273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4"/>
  <sheetViews>
    <sheetView zoomScale="125" zoomScaleNormal="125" zoomScalePageLayoutView="0" workbookViewId="0" topLeftCell="A1">
      <pane ySplit="4" topLeftCell="A69" activePane="bottomLeft" state="frozen"/>
      <selection pane="topLeft" activeCell="A1" sqref="A1"/>
      <selection pane="bottomLeft" activeCell="F77" sqref="F77"/>
    </sheetView>
  </sheetViews>
  <sheetFormatPr defaultColWidth="9.140625" defaultRowHeight="12.75"/>
  <cols>
    <col min="2" max="2" width="9.28125" style="0" bestFit="1" customWidth="1"/>
    <col min="3" max="3" width="11.28125" style="0" bestFit="1" customWidth="1"/>
    <col min="4" max="4" width="14.00390625" style="0" customWidth="1"/>
    <col min="5" max="5" width="12.140625" style="0" customWidth="1"/>
    <col min="6" max="6" width="58.421875" style="0" customWidth="1"/>
    <col min="7" max="7" width="18.8515625" style="0" customWidth="1"/>
  </cols>
  <sheetData>
    <row r="2" ht="15.75">
      <c r="B2" s="218" t="s">
        <v>178</v>
      </c>
    </row>
    <row r="3" ht="13.5" thickBot="1">
      <c r="B3" s="217" t="s">
        <v>182</v>
      </c>
    </row>
    <row r="4" spans="2:6" ht="51.75" thickBot="1">
      <c r="B4" s="219" t="s">
        <v>175</v>
      </c>
      <c r="C4" s="220" t="s">
        <v>179</v>
      </c>
      <c r="D4" s="220" t="s">
        <v>197</v>
      </c>
      <c r="E4" s="221" t="s">
        <v>176</v>
      </c>
      <c r="F4" s="222" t="s">
        <v>185</v>
      </c>
    </row>
    <row r="5" spans="2:6" ht="13.5" thickBot="1">
      <c r="B5" s="225">
        <v>39448</v>
      </c>
      <c r="C5" s="227">
        <v>922.47</v>
      </c>
      <c r="D5" s="215" t="s">
        <v>173</v>
      </c>
      <c r="E5" s="216" t="s">
        <v>173</v>
      </c>
      <c r="F5" s="211" t="s">
        <v>174</v>
      </c>
    </row>
    <row r="6" spans="2:6" ht="12.75">
      <c r="B6" s="214">
        <v>39479</v>
      </c>
      <c r="C6" s="228" t="s">
        <v>116</v>
      </c>
      <c r="D6" s="234">
        <v>1439.49</v>
      </c>
      <c r="E6" s="245">
        <v>1528.9</v>
      </c>
      <c r="F6" s="211" t="s">
        <v>183</v>
      </c>
    </row>
    <row r="7" spans="2:6" ht="12.75">
      <c r="B7" s="214">
        <v>39508</v>
      </c>
      <c r="C7" s="228" t="s">
        <v>116</v>
      </c>
      <c r="D7" s="234">
        <v>1439.49</v>
      </c>
      <c r="E7" s="245">
        <v>1528.9</v>
      </c>
      <c r="F7" s="211"/>
    </row>
    <row r="8" spans="2:6" ht="12.75">
      <c r="B8" s="214">
        <v>39539</v>
      </c>
      <c r="C8" s="228" t="s">
        <v>116</v>
      </c>
      <c r="D8" s="234">
        <v>1439.49</v>
      </c>
      <c r="E8" s="245">
        <v>1528.9</v>
      </c>
      <c r="F8" s="210"/>
    </row>
    <row r="9" spans="2:6" ht="12.75">
      <c r="B9" s="214">
        <v>39569</v>
      </c>
      <c r="C9" s="228" t="s">
        <v>116</v>
      </c>
      <c r="D9" s="234">
        <v>1439.49</v>
      </c>
      <c r="E9" s="245">
        <v>1528.9</v>
      </c>
      <c r="F9" s="211" t="s">
        <v>181</v>
      </c>
    </row>
    <row r="10" spans="2:5" ht="13.5" thickBot="1">
      <c r="B10" s="214">
        <v>39600</v>
      </c>
      <c r="C10" s="228" t="s">
        <v>116</v>
      </c>
      <c r="D10" s="234">
        <v>1439.49</v>
      </c>
      <c r="E10" s="245">
        <v>1528.9</v>
      </c>
    </row>
    <row r="11" spans="2:6" ht="12.75">
      <c r="B11" s="214">
        <v>39630</v>
      </c>
      <c r="C11" s="229" t="s">
        <v>116</v>
      </c>
      <c r="D11" s="235">
        <v>1555.76</v>
      </c>
      <c r="E11" s="245">
        <v>1528.9</v>
      </c>
      <c r="F11" s="211" t="s">
        <v>184</v>
      </c>
    </row>
    <row r="12" spans="2:6" ht="12.75">
      <c r="B12" s="214">
        <v>39661</v>
      </c>
      <c r="C12" s="230" t="s">
        <v>116</v>
      </c>
      <c r="D12" s="235">
        <v>1555.76</v>
      </c>
      <c r="E12" s="245">
        <v>1528.9</v>
      </c>
      <c r="F12" s="210"/>
    </row>
    <row r="13" spans="2:6" ht="12.75">
      <c r="B13" s="214">
        <v>39692</v>
      </c>
      <c r="C13" s="230" t="s">
        <v>116</v>
      </c>
      <c r="D13" s="235">
        <v>1555.76</v>
      </c>
      <c r="E13" s="245">
        <v>1528.9</v>
      </c>
      <c r="F13" s="210"/>
    </row>
    <row r="14" spans="2:8" ht="12.75">
      <c r="B14" s="214">
        <v>39722</v>
      </c>
      <c r="C14" s="230" t="s">
        <v>116</v>
      </c>
      <c r="D14" s="235">
        <v>1555.76</v>
      </c>
      <c r="E14" s="245">
        <v>1528.9</v>
      </c>
      <c r="H14" s="211"/>
    </row>
    <row r="15" spans="2:6" ht="12.75">
      <c r="B15" s="214">
        <v>39753</v>
      </c>
      <c r="C15" s="230" t="s">
        <v>116</v>
      </c>
      <c r="D15" s="235">
        <v>1555.76</v>
      </c>
      <c r="E15" s="245">
        <v>1528.9</v>
      </c>
      <c r="F15" s="210"/>
    </row>
    <row r="16" spans="2:6" ht="13.5" thickBot="1">
      <c r="B16" s="226">
        <v>39783</v>
      </c>
      <c r="C16" s="230" t="s">
        <v>116</v>
      </c>
      <c r="D16" s="235">
        <v>1555.76</v>
      </c>
      <c r="E16" s="246">
        <v>1528.9</v>
      </c>
      <c r="F16" s="210"/>
    </row>
    <row r="17" spans="2:6" ht="12.75">
      <c r="B17" s="214">
        <v>39814</v>
      </c>
      <c r="C17" s="230" t="s">
        <v>116</v>
      </c>
      <c r="D17" s="235">
        <v>1555.76</v>
      </c>
      <c r="E17" s="245">
        <v>1394.11</v>
      </c>
      <c r="F17" s="210"/>
    </row>
    <row r="18" spans="2:6" ht="13.5" thickBot="1">
      <c r="B18" s="214">
        <v>39845</v>
      </c>
      <c r="C18" s="230" t="s">
        <v>116</v>
      </c>
      <c r="D18" s="236">
        <v>1555.76</v>
      </c>
      <c r="E18" s="245">
        <v>1394.11</v>
      </c>
      <c r="F18" s="210"/>
    </row>
    <row r="19" spans="2:6" ht="12.75">
      <c r="B19" s="214">
        <v>39873</v>
      </c>
      <c r="C19" s="231">
        <v>1527.92</v>
      </c>
      <c r="D19" s="212"/>
      <c r="E19" s="245">
        <v>1394.11</v>
      </c>
      <c r="F19" s="211" t="s">
        <v>177</v>
      </c>
    </row>
    <row r="20" spans="2:6" ht="12.75">
      <c r="B20" s="214">
        <v>39904</v>
      </c>
      <c r="C20" s="231">
        <v>1527.92</v>
      </c>
      <c r="D20" s="212"/>
      <c r="E20" s="245">
        <v>1394.11</v>
      </c>
      <c r="F20" s="211" t="s">
        <v>186</v>
      </c>
    </row>
    <row r="21" spans="2:6" ht="12.75">
      <c r="B21" s="214">
        <v>39934</v>
      </c>
      <c r="C21" s="231">
        <v>1527.92</v>
      </c>
      <c r="D21" s="212"/>
      <c r="E21" s="245">
        <v>1394.11</v>
      </c>
      <c r="F21" s="211" t="s">
        <v>180</v>
      </c>
    </row>
    <row r="22" spans="2:6" ht="13.5" thickBot="1">
      <c r="B22" s="214">
        <v>39965</v>
      </c>
      <c r="C22" s="232">
        <v>1527.92</v>
      </c>
      <c r="D22" s="212"/>
      <c r="E22" s="245">
        <v>1394.11</v>
      </c>
      <c r="F22" s="211" t="s">
        <v>189</v>
      </c>
    </row>
    <row r="23" spans="2:6" ht="12.75">
      <c r="B23" s="214">
        <v>39995</v>
      </c>
      <c r="C23" s="233">
        <v>1592.08</v>
      </c>
      <c r="D23" s="243">
        <v>1616.17</v>
      </c>
      <c r="E23" s="245">
        <v>1394.11</v>
      </c>
      <c r="F23" s="211" t="s">
        <v>190</v>
      </c>
    </row>
    <row r="24" spans="2:6" ht="12.75">
      <c r="B24" s="214">
        <v>40026</v>
      </c>
      <c r="C24" s="231">
        <v>1616.17</v>
      </c>
      <c r="D24" s="212"/>
      <c r="E24" s="245">
        <v>1394.11</v>
      </c>
      <c r="F24" s="211" t="s">
        <v>196</v>
      </c>
    </row>
    <row r="25" spans="2:6" ht="12.75">
      <c r="B25" s="214">
        <v>40057</v>
      </c>
      <c r="C25" s="231">
        <v>1616.17</v>
      </c>
      <c r="D25" s="212"/>
      <c r="E25" s="245">
        <v>1394.11</v>
      </c>
      <c r="F25" s="211" t="s">
        <v>191</v>
      </c>
    </row>
    <row r="26" spans="2:6" ht="12.75">
      <c r="B26" s="214">
        <v>40087</v>
      </c>
      <c r="C26" s="231">
        <v>1616.17</v>
      </c>
      <c r="D26" s="212"/>
      <c r="E26" s="245">
        <v>1394.11</v>
      </c>
      <c r="F26" s="262" t="s">
        <v>216</v>
      </c>
    </row>
    <row r="27" spans="2:6" ht="12.75">
      <c r="B27" s="214">
        <v>40118</v>
      </c>
      <c r="C27" s="231">
        <v>1616.17</v>
      </c>
      <c r="D27" s="212"/>
      <c r="E27" s="245">
        <v>1394.11</v>
      </c>
      <c r="F27" s="211" t="s">
        <v>217</v>
      </c>
    </row>
    <row r="28" spans="2:6" ht="13.5" thickBot="1">
      <c r="B28" s="226">
        <v>40148</v>
      </c>
      <c r="C28" s="231">
        <v>1616.17</v>
      </c>
      <c r="D28" s="212"/>
      <c r="E28" s="328">
        <v>1394.11</v>
      </c>
      <c r="F28" s="210"/>
    </row>
    <row r="29" spans="2:6" ht="12.75">
      <c r="B29" s="214">
        <v>40179</v>
      </c>
      <c r="C29" s="231">
        <v>1616.17</v>
      </c>
      <c r="D29" s="212"/>
      <c r="E29" s="245">
        <v>1458.03</v>
      </c>
      <c r="F29" s="321" t="s">
        <v>227</v>
      </c>
    </row>
    <row r="30" spans="2:6" ht="12.75">
      <c r="B30" s="214">
        <v>40210</v>
      </c>
      <c r="C30" s="231">
        <v>1616.17</v>
      </c>
      <c r="D30" s="212"/>
      <c r="E30" s="245">
        <v>1458.03</v>
      </c>
      <c r="F30" s="321" t="s">
        <v>225</v>
      </c>
    </row>
    <row r="31" spans="2:6" ht="12.75">
      <c r="B31" s="214">
        <v>40238</v>
      </c>
      <c r="C31" s="231">
        <v>1616.17</v>
      </c>
      <c r="D31" s="212"/>
      <c r="E31" s="245">
        <v>1458.03</v>
      </c>
      <c r="F31" s="326" t="s">
        <v>226</v>
      </c>
    </row>
    <row r="32" spans="2:5" ht="12.75">
      <c r="B32" s="214">
        <v>40269</v>
      </c>
      <c r="C32" s="231">
        <v>1616.17</v>
      </c>
      <c r="D32" s="212"/>
      <c r="E32" s="245">
        <v>1458.03</v>
      </c>
    </row>
    <row r="33" spans="1:6" ht="12.75">
      <c r="A33" s="244"/>
      <c r="B33" s="214">
        <v>40299</v>
      </c>
      <c r="C33" s="231">
        <v>1616.17</v>
      </c>
      <c r="D33" s="212"/>
      <c r="E33" s="245">
        <v>1458.03</v>
      </c>
      <c r="F33" s="210"/>
    </row>
    <row r="34" spans="2:6" ht="13.5" thickBot="1">
      <c r="B34" s="214">
        <v>40330</v>
      </c>
      <c r="C34" s="232">
        <v>1616.17</v>
      </c>
      <c r="D34" s="212"/>
      <c r="E34" s="245">
        <v>1458.03</v>
      </c>
      <c r="F34" s="210"/>
    </row>
    <row r="35" spans="2:6" ht="12.75">
      <c r="B35" s="214">
        <v>40360</v>
      </c>
      <c r="C35" s="233">
        <v>1616.17</v>
      </c>
      <c r="D35" s="243">
        <v>1414.66</v>
      </c>
      <c r="E35" s="245">
        <v>1458.03</v>
      </c>
      <c r="F35" s="211" t="s">
        <v>244</v>
      </c>
    </row>
    <row r="36" spans="2:6" ht="12.75">
      <c r="B36" s="214">
        <v>40391</v>
      </c>
      <c r="C36" s="231">
        <v>1616.17</v>
      </c>
      <c r="D36" s="243">
        <v>1414.66</v>
      </c>
      <c r="E36" s="245">
        <v>1458.03</v>
      </c>
      <c r="F36" s="211" t="s">
        <v>245</v>
      </c>
    </row>
    <row r="37" spans="2:6" ht="12.75">
      <c r="B37" s="214">
        <v>40422</v>
      </c>
      <c r="C37" s="231">
        <v>1616.17</v>
      </c>
      <c r="D37" s="243">
        <v>1414.66</v>
      </c>
      <c r="E37" s="245">
        <v>1458.03</v>
      </c>
      <c r="F37" s="210"/>
    </row>
    <row r="38" spans="2:6" ht="12.75">
      <c r="B38" s="214">
        <v>40452</v>
      </c>
      <c r="C38" s="231">
        <v>1616.17</v>
      </c>
      <c r="D38" s="243">
        <v>1414.66</v>
      </c>
      <c r="E38" s="245">
        <v>1458.03</v>
      </c>
      <c r="F38" s="210"/>
    </row>
    <row r="39" spans="2:6" ht="12.75">
      <c r="B39" s="214">
        <v>40483</v>
      </c>
      <c r="C39" s="231">
        <v>1616.17</v>
      </c>
      <c r="D39" s="243">
        <v>1414.66</v>
      </c>
      <c r="E39" s="245">
        <v>1458.03</v>
      </c>
      <c r="F39" s="210"/>
    </row>
    <row r="40" spans="2:6" ht="13.5" thickBot="1">
      <c r="B40" s="226">
        <v>40513</v>
      </c>
      <c r="C40" s="231">
        <v>1414.66</v>
      </c>
      <c r="D40" s="268"/>
      <c r="E40" s="328">
        <v>1458.03</v>
      </c>
      <c r="F40" s="210" t="s">
        <v>246</v>
      </c>
    </row>
    <row r="41" spans="2:6" ht="12.75">
      <c r="B41" s="214">
        <v>40544</v>
      </c>
      <c r="C41" s="231">
        <v>1414.66</v>
      </c>
      <c r="D41" s="268"/>
      <c r="E41" s="333">
        <v>1403.03</v>
      </c>
      <c r="F41" s="211" t="s">
        <v>247</v>
      </c>
    </row>
    <row r="42" spans="2:6" ht="12.75">
      <c r="B42" s="214">
        <v>40575</v>
      </c>
      <c r="C42" s="231">
        <v>1414.66</v>
      </c>
      <c r="D42" s="268"/>
      <c r="E42" s="333">
        <f>E41</f>
        <v>1403.03</v>
      </c>
      <c r="F42" s="210" t="s">
        <v>248</v>
      </c>
    </row>
    <row r="43" spans="2:6" ht="12.75">
      <c r="B43" s="214">
        <v>40603</v>
      </c>
      <c r="C43" s="231">
        <v>1414.66</v>
      </c>
      <c r="D43" s="212"/>
      <c r="E43" s="333">
        <f aca="true" t="shared" si="0" ref="E43:E52">E42</f>
        <v>1403.03</v>
      </c>
      <c r="F43" s="210"/>
    </row>
    <row r="44" spans="2:6" ht="12.75">
      <c r="B44" s="214">
        <v>40634</v>
      </c>
      <c r="C44" s="231">
        <v>1414.66</v>
      </c>
      <c r="D44" s="212"/>
      <c r="E44" s="333">
        <f t="shared" si="0"/>
        <v>1403.03</v>
      </c>
      <c r="F44" s="210"/>
    </row>
    <row r="45" spans="2:6" ht="12.75">
      <c r="B45" s="214">
        <v>40664</v>
      </c>
      <c r="C45" s="231">
        <v>1414.66</v>
      </c>
      <c r="D45" s="212"/>
      <c r="E45" s="333">
        <f t="shared" si="0"/>
        <v>1403.03</v>
      </c>
      <c r="F45" s="267" t="s">
        <v>231</v>
      </c>
    </row>
    <row r="46" spans="2:6" ht="13.5" thickBot="1">
      <c r="B46" s="214">
        <v>40695</v>
      </c>
      <c r="C46" s="232">
        <v>1414.66</v>
      </c>
      <c r="D46" s="213"/>
      <c r="E46" s="333">
        <f t="shared" si="0"/>
        <v>1403.03</v>
      </c>
      <c r="F46" s="211" t="s">
        <v>265</v>
      </c>
    </row>
    <row r="47" spans="2:6" ht="12.75">
      <c r="B47" s="214">
        <v>40725</v>
      </c>
      <c r="C47" s="335">
        <v>1414.66</v>
      </c>
      <c r="D47" s="339">
        <v>1529.9</v>
      </c>
      <c r="E47" s="333">
        <f t="shared" si="0"/>
        <v>1403.03</v>
      </c>
      <c r="F47" s="210" t="s">
        <v>242</v>
      </c>
    </row>
    <row r="48" spans="2:6" ht="12.75">
      <c r="B48" s="214">
        <v>40756</v>
      </c>
      <c r="C48" s="245">
        <v>1414.66</v>
      </c>
      <c r="D48" s="339">
        <f>D47</f>
        <v>1529.9</v>
      </c>
      <c r="E48" s="333">
        <f t="shared" si="0"/>
        <v>1403.03</v>
      </c>
      <c r="F48" s="210"/>
    </row>
    <row r="49" spans="2:6" ht="12.75">
      <c r="B49" s="214">
        <v>40787</v>
      </c>
      <c r="C49" s="245">
        <v>1414.66</v>
      </c>
      <c r="D49" s="339">
        <f>D48</f>
        <v>1529.9</v>
      </c>
      <c r="E49" s="333">
        <f t="shared" si="0"/>
        <v>1403.03</v>
      </c>
      <c r="F49" s="210"/>
    </row>
    <row r="50" spans="2:6" ht="12.75">
      <c r="B50" s="214">
        <v>40817</v>
      </c>
      <c r="C50" s="245">
        <v>1414.66</v>
      </c>
      <c r="D50" s="339">
        <f>D49</f>
        <v>1529.9</v>
      </c>
      <c r="E50" s="333">
        <f t="shared" si="0"/>
        <v>1403.03</v>
      </c>
      <c r="F50" s="321" t="s">
        <v>266</v>
      </c>
    </row>
    <row r="51" spans="2:6" ht="12.75">
      <c r="B51" s="214">
        <v>40848</v>
      </c>
      <c r="C51" s="245">
        <f>C50</f>
        <v>1414.66</v>
      </c>
      <c r="D51" s="339">
        <f>D50</f>
        <v>1529.9</v>
      </c>
      <c r="E51" s="333">
        <f t="shared" si="0"/>
        <v>1403.03</v>
      </c>
      <c r="F51" s="211" t="s">
        <v>267</v>
      </c>
    </row>
    <row r="52" spans="2:6" ht="13.5" thickBot="1">
      <c r="B52" s="320">
        <v>40878</v>
      </c>
      <c r="C52" s="245">
        <f>C51</f>
        <v>1414.66</v>
      </c>
      <c r="D52" s="339">
        <f>D51</f>
        <v>1529.9</v>
      </c>
      <c r="E52" s="334">
        <f t="shared" si="0"/>
        <v>1403.03</v>
      </c>
      <c r="F52" s="210" t="s">
        <v>243</v>
      </c>
    </row>
    <row r="53" spans="2:6" ht="12.75">
      <c r="B53" s="214">
        <v>40909</v>
      </c>
      <c r="C53" s="245">
        <f>D52</f>
        <v>1529.9</v>
      </c>
      <c r="D53" s="324"/>
      <c r="E53" s="340">
        <v>1510.57</v>
      </c>
      <c r="F53" s="211" t="s">
        <v>268</v>
      </c>
    </row>
    <row r="54" spans="2:5" ht="12.75">
      <c r="B54" s="214">
        <v>40940</v>
      </c>
      <c r="C54" s="245">
        <f>C53</f>
        <v>1529.9</v>
      </c>
      <c r="D54" s="324"/>
      <c r="E54" s="340">
        <f>E53</f>
        <v>1510.57</v>
      </c>
    </row>
    <row r="55" spans="2:5" ht="12.75">
      <c r="B55" s="214">
        <v>40969</v>
      </c>
      <c r="C55" s="245">
        <f>C54</f>
        <v>1529.9</v>
      </c>
      <c r="D55" s="324"/>
      <c r="E55" s="340">
        <f aca="true" t="shared" si="1" ref="E55:E64">E54</f>
        <v>1510.57</v>
      </c>
    </row>
    <row r="56" spans="2:5" ht="12.75">
      <c r="B56" s="355">
        <v>41000</v>
      </c>
      <c r="C56" s="245">
        <f>C55</f>
        <v>1529.9</v>
      </c>
      <c r="D56" s="324"/>
      <c r="E56" s="340">
        <f t="shared" si="1"/>
        <v>1510.57</v>
      </c>
    </row>
    <row r="57" spans="2:6" ht="12.75">
      <c r="B57" s="355">
        <v>41030</v>
      </c>
      <c r="C57" s="245">
        <f>C56</f>
        <v>1529.9</v>
      </c>
      <c r="D57" s="324"/>
      <c r="E57" s="340">
        <f t="shared" si="1"/>
        <v>1510.57</v>
      </c>
      <c r="F57" s="321" t="s">
        <v>275</v>
      </c>
    </row>
    <row r="58" spans="2:6" ht="13.5" thickBot="1">
      <c r="B58" s="355">
        <v>41061</v>
      </c>
      <c r="C58" s="246">
        <f>C57</f>
        <v>1529.9</v>
      </c>
      <c r="D58" s="324"/>
      <c r="E58" s="340">
        <f t="shared" si="1"/>
        <v>1510.57</v>
      </c>
      <c r="F58" s="321" t="s">
        <v>276</v>
      </c>
    </row>
    <row r="59" spans="2:6" ht="12.75">
      <c r="B59" s="356">
        <v>41091</v>
      </c>
      <c r="C59" s="333">
        <v>1446.51</v>
      </c>
      <c r="D59" s="324"/>
      <c r="E59" s="340">
        <f t="shared" si="1"/>
        <v>1510.57</v>
      </c>
      <c r="F59" s="211" t="s">
        <v>274</v>
      </c>
    </row>
    <row r="60" spans="2:6" ht="12.75">
      <c r="B60" s="356">
        <v>41122</v>
      </c>
      <c r="C60" s="333">
        <f>C59</f>
        <v>1446.51</v>
      </c>
      <c r="D60" s="324"/>
      <c r="E60" s="340">
        <f t="shared" si="1"/>
        <v>1510.57</v>
      </c>
      <c r="F60" s="211" t="s">
        <v>269</v>
      </c>
    </row>
    <row r="61" spans="2:5" ht="12.75">
      <c r="B61" s="356">
        <v>41153</v>
      </c>
      <c r="C61" s="333">
        <f aca="true" t="shared" si="2" ref="C61:C70">C60</f>
        <v>1446.51</v>
      </c>
      <c r="D61" s="324"/>
      <c r="E61" s="340">
        <f t="shared" si="1"/>
        <v>1510.57</v>
      </c>
    </row>
    <row r="62" spans="2:5" ht="12.75">
      <c r="B62" s="356">
        <v>41183</v>
      </c>
      <c r="C62" s="333">
        <f t="shared" si="2"/>
        <v>1446.51</v>
      </c>
      <c r="D62" s="324"/>
      <c r="E62" s="340">
        <f t="shared" si="1"/>
        <v>1510.57</v>
      </c>
    </row>
    <row r="63" spans="2:6" ht="12.75">
      <c r="B63" s="356">
        <v>41214</v>
      </c>
      <c r="C63" s="333">
        <f t="shared" si="2"/>
        <v>1446.51</v>
      </c>
      <c r="D63" s="324"/>
      <c r="E63" s="340">
        <f t="shared" si="1"/>
        <v>1510.57</v>
      </c>
      <c r="F63" s="354" t="s">
        <v>332</v>
      </c>
    </row>
    <row r="64" spans="2:6" ht="13.5" thickBot="1">
      <c r="B64" s="357">
        <v>41244</v>
      </c>
      <c r="C64" s="333">
        <f t="shared" si="2"/>
        <v>1446.51</v>
      </c>
      <c r="D64" s="324"/>
      <c r="E64" s="340">
        <f t="shared" si="1"/>
        <v>1510.57</v>
      </c>
      <c r="F64" s="354" t="s">
        <v>331</v>
      </c>
    </row>
    <row r="65" spans="2:5" ht="12.75">
      <c r="B65" s="356">
        <v>41275</v>
      </c>
      <c r="C65" s="333">
        <f t="shared" si="2"/>
        <v>1446.51</v>
      </c>
      <c r="D65" s="173"/>
      <c r="E65" s="344">
        <v>1491.39</v>
      </c>
    </row>
    <row r="66" spans="2:5" ht="12.75">
      <c r="B66" s="356">
        <v>41306</v>
      </c>
      <c r="C66" s="333">
        <f t="shared" si="2"/>
        <v>1446.51</v>
      </c>
      <c r="D66" s="173"/>
      <c r="E66" s="345">
        <f>E65</f>
        <v>1491.39</v>
      </c>
    </row>
    <row r="67" spans="2:5" ht="12.75">
      <c r="B67" s="356">
        <v>41334</v>
      </c>
      <c r="C67" s="333">
        <f t="shared" si="2"/>
        <v>1446.51</v>
      </c>
      <c r="D67" s="173"/>
      <c r="E67" s="345">
        <f aca="true" t="shared" si="3" ref="E67:E76">E66</f>
        <v>1491.39</v>
      </c>
    </row>
    <row r="68" spans="2:5" ht="12.75">
      <c r="B68" s="356">
        <v>41365</v>
      </c>
      <c r="C68" s="333">
        <f t="shared" si="2"/>
        <v>1446.51</v>
      </c>
      <c r="D68" s="173"/>
      <c r="E68" s="345">
        <f t="shared" si="3"/>
        <v>1491.39</v>
      </c>
    </row>
    <row r="69" spans="2:5" ht="12.75">
      <c r="B69" s="356">
        <v>41395</v>
      </c>
      <c r="C69" s="333">
        <f t="shared" si="2"/>
        <v>1446.51</v>
      </c>
      <c r="D69" s="173"/>
      <c r="E69" s="345">
        <f t="shared" si="3"/>
        <v>1491.39</v>
      </c>
    </row>
    <row r="70" spans="2:5" ht="13.5" thickBot="1">
      <c r="B70" s="356">
        <v>41426</v>
      </c>
      <c r="C70" s="334">
        <f t="shared" si="2"/>
        <v>1446.51</v>
      </c>
      <c r="D70" s="173"/>
      <c r="E70" s="345">
        <f t="shared" si="3"/>
        <v>1491.39</v>
      </c>
    </row>
    <row r="71" spans="2:5" ht="12.75">
      <c r="B71" s="356">
        <v>41456</v>
      </c>
      <c r="C71" s="336">
        <v>1586.22</v>
      </c>
      <c r="D71" s="173"/>
      <c r="E71" s="345">
        <f t="shared" si="3"/>
        <v>1491.39</v>
      </c>
    </row>
    <row r="72" spans="2:5" ht="12.75">
      <c r="B72" s="356">
        <v>41487</v>
      </c>
      <c r="C72" s="327">
        <f>C71</f>
        <v>1586.22</v>
      </c>
      <c r="D72" s="173"/>
      <c r="E72" s="345">
        <f t="shared" si="3"/>
        <v>1491.39</v>
      </c>
    </row>
    <row r="73" spans="2:5" ht="12.75">
      <c r="B73" s="356">
        <v>41518</v>
      </c>
      <c r="C73" s="327">
        <f aca="true" t="shared" si="4" ref="C73:C82">C72</f>
        <v>1586.22</v>
      </c>
      <c r="D73" s="173"/>
      <c r="E73" s="345">
        <f t="shared" si="3"/>
        <v>1491.39</v>
      </c>
    </row>
    <row r="74" spans="2:5" ht="12.75">
      <c r="B74" s="356">
        <v>41548</v>
      </c>
      <c r="C74" s="327">
        <f t="shared" si="4"/>
        <v>1586.22</v>
      </c>
      <c r="D74" s="173"/>
      <c r="E74" s="345">
        <f t="shared" si="3"/>
        <v>1491.39</v>
      </c>
    </row>
    <row r="75" spans="2:6" ht="12.75">
      <c r="B75" s="356">
        <v>41579</v>
      </c>
      <c r="C75" s="327">
        <f t="shared" si="4"/>
        <v>1586.22</v>
      </c>
      <c r="D75" s="173"/>
      <c r="E75" s="345">
        <f t="shared" si="3"/>
        <v>1491.39</v>
      </c>
      <c r="F75" s="353" t="s">
        <v>333</v>
      </c>
    </row>
    <row r="76" spans="2:6" ht="13.5" thickBot="1">
      <c r="B76" s="357">
        <v>41609</v>
      </c>
      <c r="C76" s="327">
        <f t="shared" si="4"/>
        <v>1586.22</v>
      </c>
      <c r="D76" s="173"/>
      <c r="E76" s="346">
        <f t="shared" si="3"/>
        <v>1491.39</v>
      </c>
      <c r="F76" s="353" t="s">
        <v>334</v>
      </c>
    </row>
    <row r="77" spans="2:5" ht="12.75">
      <c r="B77" s="356">
        <v>41640</v>
      </c>
      <c r="C77" s="327">
        <f t="shared" si="4"/>
        <v>1586.22</v>
      </c>
      <c r="D77" s="324"/>
      <c r="E77" s="347" t="s">
        <v>330</v>
      </c>
    </row>
    <row r="78" spans="2:5" ht="12.75">
      <c r="B78" s="356">
        <v>41671</v>
      </c>
      <c r="C78" s="327">
        <f t="shared" si="4"/>
        <v>1586.22</v>
      </c>
      <c r="D78" s="324"/>
      <c r="E78" s="348" t="str">
        <f>E77</f>
        <v>TBD</v>
      </c>
    </row>
    <row r="79" spans="2:5" ht="12.75">
      <c r="B79" s="356">
        <v>41699</v>
      </c>
      <c r="C79" s="327">
        <f t="shared" si="4"/>
        <v>1586.22</v>
      </c>
      <c r="D79" s="324"/>
      <c r="E79" s="348" t="str">
        <f aca="true" t="shared" si="5" ref="E79:E88">E78</f>
        <v>TBD</v>
      </c>
    </row>
    <row r="80" spans="2:5" ht="12.75">
      <c r="B80" s="356">
        <v>41730</v>
      </c>
      <c r="C80" s="327">
        <f t="shared" si="4"/>
        <v>1586.22</v>
      </c>
      <c r="D80" s="324"/>
      <c r="E80" s="348" t="str">
        <f t="shared" si="5"/>
        <v>TBD</v>
      </c>
    </row>
    <row r="81" spans="2:5" ht="12.75">
      <c r="B81" s="356">
        <v>41760</v>
      </c>
      <c r="C81" s="327">
        <f t="shared" si="4"/>
        <v>1586.22</v>
      </c>
      <c r="D81" s="324"/>
      <c r="E81" s="348" t="str">
        <f t="shared" si="5"/>
        <v>TBD</v>
      </c>
    </row>
    <row r="82" spans="2:5" ht="13.5" thickBot="1">
      <c r="B82" s="356">
        <v>41791</v>
      </c>
      <c r="C82" s="329">
        <f t="shared" si="4"/>
        <v>1586.22</v>
      </c>
      <c r="D82" s="324"/>
      <c r="E82" s="348" t="str">
        <f t="shared" si="5"/>
        <v>TBD</v>
      </c>
    </row>
    <row r="83" spans="2:5" ht="12.75">
      <c r="B83" s="322">
        <v>41821</v>
      </c>
      <c r="C83" s="351">
        <v>1586.06</v>
      </c>
      <c r="D83" s="324"/>
      <c r="E83" s="348" t="str">
        <f t="shared" si="5"/>
        <v>TBD</v>
      </c>
    </row>
    <row r="84" spans="2:5" ht="12.75">
      <c r="B84" s="322">
        <v>41852</v>
      </c>
      <c r="C84" s="350">
        <f>C83</f>
        <v>1586.06</v>
      </c>
      <c r="D84" s="324"/>
      <c r="E84" s="348" t="str">
        <f t="shared" si="5"/>
        <v>TBD</v>
      </c>
    </row>
    <row r="85" spans="2:5" ht="12.75">
      <c r="B85" s="322">
        <v>41883</v>
      </c>
      <c r="C85" s="350">
        <f aca="true" t="shared" si="6" ref="C85:C94">C84</f>
        <v>1586.06</v>
      </c>
      <c r="D85" s="324"/>
      <c r="E85" s="348" t="str">
        <f t="shared" si="5"/>
        <v>TBD</v>
      </c>
    </row>
    <row r="86" spans="2:5" ht="12.75">
      <c r="B86" s="322">
        <v>41913</v>
      </c>
      <c r="C86" s="350">
        <f t="shared" si="6"/>
        <v>1586.06</v>
      </c>
      <c r="D86" s="324"/>
      <c r="E86" s="348" t="str">
        <f t="shared" si="5"/>
        <v>TBD</v>
      </c>
    </row>
    <row r="87" spans="2:5" ht="12.75">
      <c r="B87" s="322">
        <v>41944</v>
      </c>
      <c r="C87" s="350">
        <f t="shared" si="6"/>
        <v>1586.06</v>
      </c>
      <c r="D87" s="324"/>
      <c r="E87" s="348" t="str">
        <f t="shared" si="5"/>
        <v>TBD</v>
      </c>
    </row>
    <row r="88" spans="2:6" ht="13.5" thickBot="1">
      <c r="B88" s="323">
        <v>41974</v>
      </c>
      <c r="C88" s="350">
        <f t="shared" si="6"/>
        <v>1586.06</v>
      </c>
      <c r="D88" s="324"/>
      <c r="E88" s="349" t="str">
        <f t="shared" si="5"/>
        <v>TBD</v>
      </c>
      <c r="F88" s="173"/>
    </row>
    <row r="89" spans="2:5" ht="12.75">
      <c r="B89" s="322">
        <v>42005</v>
      </c>
      <c r="C89" s="350">
        <f t="shared" si="6"/>
        <v>1586.06</v>
      </c>
      <c r="D89" s="324"/>
      <c r="E89" s="324"/>
    </row>
    <row r="90" spans="2:5" ht="12.75">
      <c r="B90" s="322">
        <v>42036</v>
      </c>
      <c r="C90" s="350">
        <f t="shared" si="6"/>
        <v>1586.06</v>
      </c>
      <c r="D90" s="324"/>
      <c r="E90" s="324"/>
    </row>
    <row r="91" spans="2:5" ht="12.75">
      <c r="B91" s="322">
        <v>42064</v>
      </c>
      <c r="C91" s="350">
        <f t="shared" si="6"/>
        <v>1586.06</v>
      </c>
      <c r="D91" s="324"/>
      <c r="E91" s="324"/>
    </row>
    <row r="92" spans="2:5" ht="12.75">
      <c r="B92" s="322">
        <v>42095</v>
      </c>
      <c r="C92" s="350">
        <f t="shared" si="6"/>
        <v>1586.06</v>
      </c>
      <c r="D92" s="324"/>
      <c r="E92" s="324"/>
    </row>
    <row r="93" spans="2:5" ht="12.75">
      <c r="B93" s="322">
        <v>42125</v>
      </c>
      <c r="C93" s="350">
        <f t="shared" si="6"/>
        <v>1586.06</v>
      </c>
      <c r="D93" s="324"/>
      <c r="E93" s="324"/>
    </row>
    <row r="94" spans="2:5" ht="13.5" thickBot="1">
      <c r="B94" s="322">
        <v>42156</v>
      </c>
      <c r="C94" s="352">
        <f t="shared" si="6"/>
        <v>1586.06</v>
      </c>
      <c r="D94" s="324"/>
      <c r="E94" s="324"/>
    </row>
    <row r="95" spans="2:5" ht="12.75">
      <c r="B95" s="322">
        <v>42186</v>
      </c>
      <c r="C95" s="324"/>
      <c r="D95" s="324"/>
      <c r="E95" s="324"/>
    </row>
    <row r="96" spans="2:5" ht="12.75">
      <c r="B96" s="322">
        <v>42217</v>
      </c>
      <c r="C96" s="324"/>
      <c r="D96" s="324"/>
      <c r="E96" s="324"/>
    </row>
    <row r="97" spans="2:5" ht="12.75">
      <c r="B97" s="322">
        <v>42248</v>
      </c>
      <c r="C97" s="324"/>
      <c r="D97" s="324"/>
      <c r="E97" s="324"/>
    </row>
    <row r="98" spans="2:5" ht="12.75">
      <c r="B98" s="322">
        <v>42278</v>
      </c>
      <c r="C98" s="324"/>
      <c r="D98" s="324"/>
      <c r="E98" s="324"/>
    </row>
    <row r="99" spans="2:5" ht="12.75">
      <c r="B99" s="322">
        <v>42309</v>
      </c>
      <c r="C99" s="324"/>
      <c r="D99" s="324"/>
      <c r="E99" s="324"/>
    </row>
    <row r="100" spans="2:5" ht="13.5" thickBot="1">
      <c r="B100" s="323">
        <v>42339</v>
      </c>
      <c r="C100" s="324"/>
      <c r="D100" s="324"/>
      <c r="E100" s="325"/>
    </row>
    <row r="101" spans="2:5" ht="12.75">
      <c r="B101" s="322">
        <v>42370</v>
      </c>
      <c r="C101" s="324"/>
      <c r="D101" s="324"/>
      <c r="E101" s="324"/>
    </row>
    <row r="102" spans="2:5" ht="12.75">
      <c r="B102" s="322">
        <v>42401</v>
      </c>
      <c r="C102" s="324"/>
      <c r="D102" s="324"/>
      <c r="E102" s="324"/>
    </row>
    <row r="103" spans="2:5" ht="12.75">
      <c r="B103" s="322">
        <v>42430</v>
      </c>
      <c r="C103" s="324"/>
      <c r="D103" s="324"/>
      <c r="E103" s="324"/>
    </row>
    <row r="104" spans="2:5" ht="12.75">
      <c r="B104" s="322">
        <v>42461</v>
      </c>
      <c r="C104" s="324"/>
      <c r="D104" s="324"/>
      <c r="E104" s="324"/>
    </row>
    <row r="105" spans="2:5" ht="12.75">
      <c r="B105" s="322">
        <v>42491</v>
      </c>
      <c r="C105" s="324"/>
      <c r="D105" s="324"/>
      <c r="E105" s="324"/>
    </row>
    <row r="106" spans="2:5" ht="13.5" thickBot="1">
      <c r="B106" s="322">
        <v>42522</v>
      </c>
      <c r="C106" s="325"/>
      <c r="D106" s="324"/>
      <c r="E106" s="324"/>
    </row>
    <row r="107" spans="2:5" ht="12.75">
      <c r="B107" s="322">
        <v>42552</v>
      </c>
      <c r="C107" s="324"/>
      <c r="D107" s="324"/>
      <c r="E107" s="324"/>
    </row>
    <row r="108" spans="2:5" ht="12.75">
      <c r="B108" s="322">
        <v>42583</v>
      </c>
      <c r="C108" s="324"/>
      <c r="D108" s="324"/>
      <c r="E108" s="324"/>
    </row>
    <row r="109" spans="2:5" ht="12.75">
      <c r="B109" s="322">
        <v>42614</v>
      </c>
      <c r="C109" s="324"/>
      <c r="D109" s="324"/>
      <c r="E109" s="324"/>
    </row>
    <row r="110" spans="2:5" ht="12.75">
      <c r="B110" s="322">
        <v>42644</v>
      </c>
      <c r="C110" s="324"/>
      <c r="D110" s="324"/>
      <c r="E110" s="324"/>
    </row>
    <row r="111" spans="2:5" ht="12.75">
      <c r="B111" s="322">
        <v>42675</v>
      </c>
      <c r="C111" s="324"/>
      <c r="D111" s="324"/>
      <c r="E111" s="324"/>
    </row>
    <row r="112" spans="2:5" ht="13.5" thickBot="1">
      <c r="B112" s="323">
        <v>42705</v>
      </c>
      <c r="C112" s="324"/>
      <c r="D112" s="324"/>
      <c r="E112" s="325"/>
    </row>
    <row r="113" spans="2:5" ht="12.75">
      <c r="B113" s="322">
        <v>42736</v>
      </c>
      <c r="C113" s="324"/>
      <c r="D113" s="324"/>
      <c r="E113" s="324"/>
    </row>
    <row r="114" spans="2:5" ht="12.75">
      <c r="B114" s="322">
        <v>42767</v>
      </c>
      <c r="C114" s="324"/>
      <c r="D114" s="324"/>
      <c r="E114" s="324"/>
    </row>
    <row r="115" spans="2:5" ht="12.75">
      <c r="B115" s="322">
        <v>42795</v>
      </c>
      <c r="C115" s="324"/>
      <c r="D115" s="324"/>
      <c r="E115" s="324"/>
    </row>
    <row r="116" spans="2:5" ht="12.75">
      <c r="B116" s="322">
        <v>42826</v>
      </c>
      <c r="C116" s="324"/>
      <c r="D116" s="324"/>
      <c r="E116" s="324"/>
    </row>
    <row r="117" spans="2:5" ht="12.75">
      <c r="B117" s="322">
        <v>42856</v>
      </c>
      <c r="C117" s="324"/>
      <c r="D117" s="324"/>
      <c r="E117" s="324"/>
    </row>
    <row r="118" spans="2:5" ht="13.5" thickBot="1">
      <c r="B118" s="322">
        <v>42887</v>
      </c>
      <c r="C118" s="325"/>
      <c r="D118" s="324"/>
      <c r="E118" s="324"/>
    </row>
    <row r="119" spans="2:5" ht="12.75">
      <c r="B119" s="322">
        <v>42917</v>
      </c>
      <c r="C119" s="324"/>
      <c r="D119" s="324"/>
      <c r="E119" s="324"/>
    </row>
    <row r="120" spans="2:5" ht="12.75">
      <c r="B120" s="322">
        <v>42948</v>
      </c>
      <c r="C120" s="324"/>
      <c r="D120" s="324"/>
      <c r="E120" s="324"/>
    </row>
    <row r="121" spans="2:5" ht="12.75">
      <c r="B121" s="322">
        <v>42979</v>
      </c>
      <c r="C121" s="324"/>
      <c r="D121" s="324"/>
      <c r="E121" s="324"/>
    </row>
    <row r="122" spans="2:5" ht="12.75">
      <c r="B122" s="322">
        <v>43009</v>
      </c>
      <c r="C122" s="324"/>
      <c r="D122" s="324"/>
      <c r="E122" s="324"/>
    </row>
    <row r="123" spans="2:5" ht="12.75">
      <c r="B123" s="322">
        <v>43040</v>
      </c>
      <c r="C123" s="324"/>
      <c r="D123" s="324"/>
      <c r="E123" s="324"/>
    </row>
    <row r="124" spans="2:5" ht="13.5" thickBot="1">
      <c r="B124" s="323">
        <v>43070</v>
      </c>
      <c r="C124" s="324"/>
      <c r="D124" s="324"/>
      <c r="E124" s="325"/>
    </row>
  </sheetData>
  <sheetProtection/>
  <printOptions/>
  <pageMargins left="0.75" right="0.75" top="1" bottom="1" header="0.5" footer="0.5"/>
  <pageSetup fitToHeight="0" fitToWidth="1" horizontalDpi="1200" verticalDpi="1200" orientation="portrait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65" t="str">
        <f>+Transactions!B1</f>
        <v>AEP Formula Rate -- FERC Docket ER07-1069</v>
      </c>
      <c r="D1" s="365"/>
      <c r="E1" s="365"/>
      <c r="F1" s="365"/>
      <c r="G1" s="365"/>
      <c r="H1" s="365"/>
      <c r="K1" s="364">
        <v>2014</v>
      </c>
    </row>
    <row r="2" spans="3:8" ht="12.75">
      <c r="C2" s="365" t="s">
        <v>163</v>
      </c>
      <c r="D2" s="365"/>
      <c r="E2" s="365"/>
      <c r="F2" s="365"/>
      <c r="G2" s="365"/>
      <c r="H2" s="365"/>
    </row>
    <row r="3" spans="3:8" ht="12.75">
      <c r="C3" s="365" t="str">
        <f>"for period 01/01/"&amp;F8&amp;" - 12/31/"&amp;F8</f>
        <v>for period 01/01/2013 - 12/31/2013</v>
      </c>
      <c r="D3" s="365"/>
      <c r="E3" s="365"/>
      <c r="F3" s="365"/>
      <c r="G3" s="365"/>
      <c r="H3" s="365"/>
    </row>
    <row r="4" ht="12.75">
      <c r="C4" s="117"/>
    </row>
    <row r="5" spans="3:4" ht="12.75">
      <c r="C5" s="337" t="str">
        <f>"Prepared:  May __, "&amp;K1&amp;""</f>
        <v>Prepared:  May __, 2014</v>
      </c>
      <c r="D5" s="319"/>
    </row>
    <row r="6" ht="12.75">
      <c r="C6" s="117"/>
    </row>
    <row r="7" ht="12.75">
      <c r="C7" s="5"/>
    </row>
    <row r="8" ht="27.75" customHeight="1" thickBot="1">
      <c r="F8" s="204">
        <f>Transactions!N1</f>
        <v>2013</v>
      </c>
    </row>
    <row r="9" spans="5:11" ht="20.25" customHeight="1">
      <c r="E9" s="247" t="s">
        <v>198</v>
      </c>
      <c r="F9" s="194"/>
      <c r="G9" s="203" t="s">
        <v>168</v>
      </c>
      <c r="K9" s="48"/>
    </row>
    <row r="10" spans="2:7" ht="42" customHeight="1" thickBot="1">
      <c r="B10" s="180"/>
      <c r="E10" s="276" t="str">
        <f>"(per "&amp;$F8-1&amp;" Update of May "&amp;$F8-1&amp;")"</f>
        <v>(per 2012 Update of May 2012)</v>
      </c>
      <c r="F10" s="318" t="str">
        <f>"(per "&amp;F8+1&amp;" Update of May "&amp;F8+1&amp;")"</f>
        <v>(per 2014 Update of May 2014)</v>
      </c>
      <c r="G10" s="277" t="str">
        <f>"(per "&amp;$F8&amp;" Update of July "&amp;F8&amp;")"</f>
        <v>(per 2013 Update of July 2013)</v>
      </c>
    </row>
    <row r="11" spans="2:7" ht="21.75" customHeight="1">
      <c r="B11" s="182"/>
      <c r="C11" s="200" t="s">
        <v>166</v>
      </c>
      <c r="D11" s="199" t="s">
        <v>164</v>
      </c>
      <c r="E11" s="300">
        <f>Transactions!K2</f>
        <v>144466358</v>
      </c>
      <c r="F11" s="188"/>
      <c r="G11" s="301">
        <f>+Transactions!K7</f>
        <v>155652292.49945968</v>
      </c>
    </row>
    <row r="12" spans="2:7" ht="21.75" customHeight="1">
      <c r="B12" s="182"/>
      <c r="C12" s="189"/>
      <c r="D12" s="206" t="s">
        <v>172</v>
      </c>
      <c r="E12" s="195"/>
      <c r="F12" s="187">
        <f>+Transactions!J2</f>
        <v>145213453.70262408</v>
      </c>
      <c r="G12" s="196"/>
    </row>
    <row r="13" spans="2:7" ht="21.75" customHeight="1">
      <c r="B13" s="181"/>
      <c r="C13" s="201" t="s">
        <v>167</v>
      </c>
      <c r="D13" s="198" t="s">
        <v>165</v>
      </c>
      <c r="E13" s="302">
        <f>Transactions!K3</f>
        <v>1446.51</v>
      </c>
      <c r="F13" s="303"/>
      <c r="G13" s="304">
        <f>+Transactions!K8</f>
        <v>1586.22</v>
      </c>
    </row>
    <row r="14" spans="2:7" ht="21.75" customHeight="1" thickBot="1">
      <c r="B14" s="180"/>
      <c r="C14" s="190"/>
      <c r="D14" s="205" t="s">
        <v>171</v>
      </c>
      <c r="E14" s="191"/>
      <c r="F14" s="274">
        <f>+Transactions!J3</f>
        <v>1491.39</v>
      </c>
      <c r="G14" s="192"/>
    </row>
    <row r="15" spans="2:5" ht="12.75">
      <c r="B15" s="182"/>
      <c r="E15" s="151"/>
    </row>
    <row r="16" spans="2:18" ht="12.75">
      <c r="B16" s="181"/>
      <c r="C16" s="181"/>
      <c r="D16" s="197"/>
      <c r="E16" s="181"/>
      <c r="F16" s="183"/>
      <c r="G16" s="184"/>
      <c r="J16" s="16"/>
      <c r="K16" s="151"/>
      <c r="M16" s="13"/>
      <c r="N16" s="172"/>
      <c r="O16" s="172"/>
      <c r="P16" s="172"/>
      <c r="Q16" s="172"/>
      <c r="R16" s="172"/>
    </row>
    <row r="17" spans="3:18" ht="12.75">
      <c r="C17" s="5"/>
      <c r="M17" s="30"/>
      <c r="N17" s="172"/>
      <c r="O17" s="172"/>
      <c r="P17" s="172"/>
      <c r="Q17" s="172"/>
      <c r="R17" s="172"/>
    </row>
    <row r="18" spans="3:18" ht="12.75">
      <c r="C18" s="13"/>
      <c r="D18" s="13"/>
      <c r="E18" s="13"/>
      <c r="F18" s="13"/>
      <c r="G18" s="13"/>
      <c r="H18" s="13"/>
      <c r="M18" s="13"/>
      <c r="N18" s="172"/>
      <c r="O18" s="172"/>
      <c r="P18" s="172"/>
      <c r="Q18" s="172"/>
      <c r="R18" s="172"/>
    </row>
    <row r="19" spans="3:18" ht="21" customHeight="1" thickBot="1">
      <c r="C19" s="185" t="s">
        <v>158</v>
      </c>
      <c r="D19" s="185" t="s">
        <v>159</v>
      </c>
      <c r="E19" s="186" t="s">
        <v>160</v>
      </c>
      <c r="F19" s="186" t="s">
        <v>161</v>
      </c>
      <c r="G19" s="185" t="s">
        <v>162</v>
      </c>
      <c r="H19" s="186" t="s">
        <v>170</v>
      </c>
      <c r="M19" s="13"/>
      <c r="N19" s="172"/>
      <c r="O19" s="172"/>
      <c r="P19" s="172"/>
      <c r="Q19" s="172"/>
      <c r="R19" s="172"/>
    </row>
    <row r="20" spans="3:18" ht="53.25" customHeight="1">
      <c r="C20" s="261" t="s">
        <v>215</v>
      </c>
      <c r="D20" s="177" t="str">
        <f>"Actual Charge
("&amp;F8&amp;" True-Up)"</f>
        <v>Actual Charge
(2013 True-Up)</v>
      </c>
      <c r="E20" s="178" t="str">
        <f>"Invoiced for
CY"&amp;F8&amp;" Transmission Service"</f>
        <v>Invoiced for
CY2013 Transmission Service</v>
      </c>
      <c r="F20" s="177" t="s">
        <v>169</v>
      </c>
      <c r="G20" s="179" t="s">
        <v>115</v>
      </c>
      <c r="H20" s="202" t="s">
        <v>194</v>
      </c>
      <c r="M20" s="13"/>
      <c r="N20" s="172"/>
      <c r="O20" s="172"/>
      <c r="P20" s="172"/>
      <c r="Q20" s="172"/>
      <c r="R20" s="172"/>
    </row>
    <row r="21" spans="2:18" ht="12.75">
      <c r="B21" s="242"/>
      <c r="C21" s="173" t="s">
        <v>137</v>
      </c>
      <c r="D21" s="174">
        <f>GETPIVOTDATA("Sum of "&amp;T(Transactions!$J$19),Pivot!$A$3,"Customer",C21)</f>
        <v>11519496.36</v>
      </c>
      <c r="E21" s="174">
        <f>GETPIVOTDATA("Sum of "&amp;T(Transactions!$K$19),Pivot!$A$3,"Customer",C21)</f>
        <v>11748029.309999999</v>
      </c>
      <c r="F21" s="174">
        <f>D21-E21</f>
        <v>-228532.94999999925</v>
      </c>
      <c r="G21" s="172">
        <f>+GETPIVOTDATA("Sum of "&amp;T(Transactions!$M$19),Pivot!$A$3,"Customer","AECC")</f>
        <v>-4478.827614790694</v>
      </c>
      <c r="H21" s="175">
        <f>F21+G21</f>
        <v>-233011.77761478996</v>
      </c>
      <c r="J21" s="25"/>
      <c r="K21" s="242"/>
      <c r="M21" s="13"/>
      <c r="N21" s="172"/>
      <c r="O21" s="172"/>
      <c r="P21" s="172"/>
      <c r="Q21" s="172"/>
      <c r="R21" s="172"/>
    </row>
    <row r="22" spans="2:18" ht="12.75">
      <c r="B22" s="242"/>
      <c r="C22" s="193" t="s">
        <v>221</v>
      </c>
      <c r="D22" s="174">
        <f>GETPIVOTDATA("Sum of "&amp;T(Transactions!$J$19),Pivot!$A$3,"Customer",C22)</f>
        <v>1947755.3400000003</v>
      </c>
      <c r="E22" s="174">
        <f>GETPIVOTDATA("Sum of "&amp;T(Transactions!$K$19),Pivot!$A$3,"Customer",C22)</f>
        <v>1986799.3499999999</v>
      </c>
      <c r="F22" s="174">
        <f aca="true" t="shared" si="0" ref="F22:F37">D22-E22</f>
        <v>-39044.009999999544</v>
      </c>
      <c r="G22" s="172">
        <f>+GETPIVOTDATA("Sum of "&amp;T(Transactions!$M$19),Pivot!$A$3,"Customer","Bentonville, AR")</f>
        <v>-747.1136465033682</v>
      </c>
      <c r="H22" s="175">
        <f aca="true" t="shared" si="1" ref="H22:H37">F22+G22</f>
        <v>-39791.123646502914</v>
      </c>
      <c r="J22" s="25"/>
      <c r="K22" s="242"/>
      <c r="M22" s="13"/>
      <c r="N22" s="172"/>
      <c r="O22" s="172"/>
      <c r="P22" s="172"/>
      <c r="Q22" s="172"/>
      <c r="R22" s="172"/>
    </row>
    <row r="23" spans="2:18" ht="12.75">
      <c r="B23" s="242"/>
      <c r="C23" s="173" t="s">
        <v>142</v>
      </c>
      <c r="D23" s="174">
        <f>GETPIVOTDATA("Sum of "&amp;T(Transactions!$J$19),Pivot!$A$3,"Customer",C23)</f>
        <v>1770279.9300000002</v>
      </c>
      <c r="E23" s="174">
        <f>GETPIVOTDATA("Sum of "&amp;T(Transactions!$K$19),Pivot!$A$3,"Customer",C23)</f>
        <v>1801531.9200000002</v>
      </c>
      <c r="F23" s="174">
        <f t="shared" si="0"/>
        <v>-31251.98999999999</v>
      </c>
      <c r="G23" s="172">
        <f>+GETPIVOTDATA("Sum of "&amp;T(Transactions!$M$19),Pivot!$A$3,"Customer","Coffeyville, KS")</f>
        <v>-565.0857864002485</v>
      </c>
      <c r="H23" s="175">
        <f t="shared" si="1"/>
        <v>-31817.07578640024</v>
      </c>
      <c r="K23" s="242"/>
      <c r="M23" s="13"/>
      <c r="N23" s="172"/>
      <c r="O23" s="172"/>
      <c r="P23" s="172"/>
      <c r="Q23" s="172"/>
      <c r="R23" s="172"/>
    </row>
    <row r="24" spans="2:18" ht="12.75">
      <c r="B24" s="242"/>
      <c r="C24" s="193" t="s">
        <v>136</v>
      </c>
      <c r="D24" s="174">
        <f>GETPIVOTDATA("Sum of "&amp;T(Transactions!$J$19),Pivot!$A$3,"Customer",C24)</f>
        <v>1413837.7200000002</v>
      </c>
      <c r="E24" s="174">
        <f>GETPIVOTDATA("Sum of "&amp;T(Transactions!$K$19),Pivot!$A$3,"Customer",C24)</f>
        <v>1442403.87</v>
      </c>
      <c r="F24" s="174">
        <f t="shared" si="0"/>
        <v>-28566.149999999907</v>
      </c>
      <c r="G24" s="172">
        <f>+GETPIVOTDATA("Sum of "&amp;T(Transactions!$M$19),Pivot!$A$3,"Customer","ETEC")</f>
        <v>-586.8699982510125</v>
      </c>
      <c r="H24" s="175">
        <f t="shared" si="1"/>
        <v>-29153.01999825092</v>
      </c>
      <c r="K24" s="242"/>
      <c r="M24" s="30"/>
      <c r="N24" s="172"/>
      <c r="O24" s="172"/>
      <c r="P24" s="172"/>
      <c r="Q24" s="172"/>
      <c r="R24" s="172"/>
    </row>
    <row r="25" spans="2:18" ht="12.75">
      <c r="B25" s="242"/>
      <c r="C25" s="173" t="s">
        <v>140</v>
      </c>
      <c r="D25" s="174">
        <f>GETPIVOTDATA("Sum of "&amp;T(Transactions!$J$19),Pivot!$A$3,"Customer",C25)</f>
        <v>158087.34000000003</v>
      </c>
      <c r="E25" s="174">
        <f>GETPIVOTDATA("Sum of "&amp;T(Transactions!$K$19),Pivot!$A$3,"Customer",C25)</f>
        <v>161852.37000000002</v>
      </c>
      <c r="F25" s="174">
        <f t="shared" si="0"/>
        <v>-3765.029999999999</v>
      </c>
      <c r="G25" s="172">
        <f>+GETPIVOTDATA("Sum of "&amp;T(Transactions!$M$19),Pivot!$A$3,"Customer","Greenbelt")</f>
        <v>-82.89692993890996</v>
      </c>
      <c r="H25" s="175">
        <f t="shared" si="1"/>
        <v>-3847.926929938909</v>
      </c>
      <c r="J25" s="13"/>
      <c r="K25" s="242"/>
      <c r="L25" s="241"/>
      <c r="M25" s="241"/>
      <c r="N25" s="241"/>
      <c r="O25" s="241"/>
      <c r="P25" s="172"/>
      <c r="Q25" s="172"/>
      <c r="R25" s="172"/>
    </row>
    <row r="26" spans="2:18" ht="12.75">
      <c r="B26" s="242"/>
      <c r="C26" s="173" t="s">
        <v>224</v>
      </c>
      <c r="D26" s="174">
        <f>GETPIVOTDATA("Sum of "&amp;T(Transactions!$J$19),Pivot!$A$3,"Customer",C26)</f>
        <v>839652.5700000001</v>
      </c>
      <c r="E26" s="174">
        <f>GETPIVOTDATA("Sum of "&amp;T(Transactions!$K$19),Pivot!$A$3,"Customer",C26)</f>
        <v>854761.32</v>
      </c>
      <c r="F26" s="174">
        <f t="shared" si="0"/>
        <v>-15108.749999999884</v>
      </c>
      <c r="G26" s="172">
        <f>+GETPIVOTDATA("Sum of "&amp;T(Transactions!$M$19),Pivot!$A$3,"Customer","Hope, AR")</f>
        <v>-266.5067411373793</v>
      </c>
      <c r="H26" s="175">
        <f t="shared" si="1"/>
        <v>-15375.256741137262</v>
      </c>
      <c r="J26" s="13"/>
      <c r="K26" s="242"/>
      <c r="L26" s="241"/>
      <c r="M26" s="241"/>
      <c r="N26" s="241"/>
      <c r="O26" s="241"/>
      <c r="P26" s="172"/>
      <c r="Q26" s="172"/>
      <c r="R26" s="172"/>
    </row>
    <row r="27" spans="2:18" ht="12.75">
      <c r="B27" s="242"/>
      <c r="C27" s="173" t="s">
        <v>141</v>
      </c>
      <c r="D27" s="174">
        <f>GETPIVOTDATA("Sum of "&amp;T(Transactions!$J$19),Pivot!$A$3,"Customer",C27)</f>
        <v>35793.35999999999</v>
      </c>
      <c r="E27" s="174">
        <f>GETPIVOTDATA("Sum of "&amp;T(Transactions!$K$19),Pivot!$A$3,"Customer",C27)</f>
        <v>36672.18000000001</v>
      </c>
      <c r="F27" s="174">
        <f t="shared" si="0"/>
        <v>-878.8200000000143</v>
      </c>
      <c r="G27" s="172">
        <f>+GETPIVOTDATA("Sum of "&amp;T(Transactions!$M$19),Pivot!$A$3,"Customer","Lighthouse")</f>
        <v>-19.251951004035334</v>
      </c>
      <c r="H27" s="175">
        <f t="shared" si="1"/>
        <v>-898.0719510040497</v>
      </c>
      <c r="K27" s="242"/>
      <c r="M27" s="13"/>
      <c r="N27" s="172"/>
      <c r="O27" s="172"/>
      <c r="P27" s="172"/>
      <c r="Q27" s="172"/>
      <c r="R27" s="172"/>
    </row>
    <row r="28" spans="2:18" ht="12.75">
      <c r="B28" s="242"/>
      <c r="C28" s="193" t="s">
        <v>223</v>
      </c>
      <c r="D28" s="174">
        <f>GETPIVOTDATA("Sum of "&amp;T(Transactions!$J$19),Pivot!$A$3,"Customer",C28)</f>
        <v>505581.2100000001</v>
      </c>
      <c r="E28" s="174">
        <f>GETPIVOTDATA("Sum of "&amp;T(Transactions!$K$19),Pivot!$A$3,"Customer",C28)</f>
        <v>515933.82</v>
      </c>
      <c r="F28" s="174">
        <f t="shared" si="0"/>
        <v>-10352.609999999928</v>
      </c>
      <c r="G28" s="172">
        <f>+GETPIVOTDATA("Sum of "&amp;T(Transactions!$M$19),Pivot!$A$3,"Customer","Minden, LA")</f>
        <v>-199.30682994344545</v>
      </c>
      <c r="H28" s="175">
        <f t="shared" si="1"/>
        <v>-10551.916829943373</v>
      </c>
      <c r="K28" s="242"/>
      <c r="M28" s="13"/>
      <c r="N28" s="172"/>
      <c r="O28" s="172"/>
      <c r="P28" s="172"/>
      <c r="Q28" s="172"/>
      <c r="R28" s="172"/>
    </row>
    <row r="29" spans="2:11" ht="12.75">
      <c r="B29" s="242"/>
      <c r="C29" s="173" t="s">
        <v>138</v>
      </c>
      <c r="D29" s="174">
        <f>GETPIVOTDATA("Sum of "&amp;T(Transactions!$J$19),Pivot!$A$3,"Customer",C29)</f>
        <v>11046725.73</v>
      </c>
      <c r="E29" s="174">
        <f>GETPIVOTDATA("Sum of "&amp;T(Transactions!$K$19),Pivot!$A$3,"Customer",C29)</f>
        <v>11255955.239999998</v>
      </c>
      <c r="F29" s="174">
        <f t="shared" si="0"/>
        <v>-209229.5099999979</v>
      </c>
      <c r="G29" s="172">
        <f>+GETPIVOTDATA("Sum of "&amp;T(Transactions!$M$19),Pivot!$A$3,"Customer","NTEC")</f>
        <v>-4117.409652844921</v>
      </c>
      <c r="H29" s="175">
        <f t="shared" si="1"/>
        <v>-213346.91965284283</v>
      </c>
      <c r="K29" s="242"/>
    </row>
    <row r="30" spans="2:11" ht="12.75">
      <c r="B30" s="242"/>
      <c r="C30" s="193" t="s">
        <v>144</v>
      </c>
      <c r="D30" s="174">
        <f>GETPIVOTDATA("Sum of "&amp;T(Transactions!$J$19),Pivot!$A$3,"Customer",C30)</f>
        <v>359424.98999999993</v>
      </c>
      <c r="E30" s="174">
        <f>GETPIVOTDATA("Sum of "&amp;T(Transactions!$K$19),Pivot!$A$3,"Customer",C30)</f>
        <v>366212.36999999994</v>
      </c>
      <c r="F30" s="174">
        <f t="shared" si="0"/>
        <v>-6787.380000000005</v>
      </c>
      <c r="G30" s="172">
        <f>+GETPIVOTDATA("Sum of "&amp;T(Transactions!$M$19),Pivot!$A$3,"Customer","OG&amp;E")</f>
        <v>-118.67807839505767</v>
      </c>
      <c r="H30" s="175">
        <f t="shared" si="1"/>
        <v>-6906.058078395063</v>
      </c>
      <c r="K30" s="242"/>
    </row>
    <row r="31" spans="2:11" ht="12.75">
      <c r="B31" s="242"/>
      <c r="C31" s="173" t="s">
        <v>117</v>
      </c>
      <c r="D31" s="174">
        <f>GETPIVOTDATA("Sum of "&amp;T(Transactions!$J$19),Pivot!$A$3,"Customer",C31)</f>
        <v>2031273.1800000002</v>
      </c>
      <c r="E31" s="174">
        <f>GETPIVOTDATA("Sum of "&amp;T(Transactions!$K$19),Pivot!$A$3,"Customer",C31)</f>
        <v>2073951.15</v>
      </c>
      <c r="F31" s="174">
        <f t="shared" si="0"/>
        <v>-42677.96999999974</v>
      </c>
      <c r="G31" s="172">
        <f>+GETPIVOTDATA("Sum of "&amp;T(Transactions!$M$19),Pivot!$A$3,"Customer","OMPA")</f>
        <v>-852.102971091276</v>
      </c>
      <c r="H31" s="175">
        <f t="shared" si="1"/>
        <v>-43530.07297109102</v>
      </c>
      <c r="K31" s="242"/>
    </row>
    <row r="32" spans="2:11" ht="12.75">
      <c r="B32" s="242"/>
      <c r="C32" s="173" t="s">
        <v>222</v>
      </c>
      <c r="D32" s="174">
        <f>GETPIVOTDATA("Sum of "&amp;T(Transactions!$J$19),Pivot!$A$3,"Customer",C32)</f>
        <v>225199.89</v>
      </c>
      <c r="E32" s="174">
        <f>GETPIVOTDATA("Sum of "&amp;T(Transactions!$K$19),Pivot!$A$3,"Customer",C32)</f>
        <v>229040.97000000003</v>
      </c>
      <c r="F32" s="174">
        <f t="shared" si="0"/>
        <v>-3841.0800000000163</v>
      </c>
      <c r="G32" s="172">
        <f>+GETPIVOTDATA("Sum of "&amp;T(Transactions!$M$19),Pivot!$A$3,"Customer","Prescott, AR")</f>
        <v>-69.55123721947035</v>
      </c>
      <c r="H32" s="175">
        <f t="shared" si="1"/>
        <v>-3910.6312372194866</v>
      </c>
      <c r="K32" s="242"/>
    </row>
    <row r="33" spans="2:11" ht="12.75">
      <c r="B33" s="242"/>
      <c r="C33" s="173" t="s">
        <v>139</v>
      </c>
      <c r="D33" s="174">
        <f>GETPIVOTDATA("Sum of "&amp;T(Transactions!$J$19),Pivot!$A$3,"Customer",C33)</f>
        <v>1713607.11</v>
      </c>
      <c r="E33" s="174">
        <f>GETPIVOTDATA("Sum of "&amp;T(Transactions!$K$19),Pivot!$A$3,"Customer",C33)</f>
        <v>1746843.96</v>
      </c>
      <c r="F33" s="174">
        <f t="shared" si="0"/>
        <v>-33236.84999999986</v>
      </c>
      <c r="G33" s="172">
        <f>+GETPIVOTDATA("Sum of "&amp;T(Transactions!$M$19),Pivot!$A$3,"Customer","TEXLA")</f>
        <v>-647.4848891252582</v>
      </c>
      <c r="H33" s="175">
        <f t="shared" si="1"/>
        <v>-33884.334889125115</v>
      </c>
      <c r="K33" s="242"/>
    </row>
    <row r="34" spans="2:11" ht="12.75">
      <c r="B34" s="242"/>
      <c r="C34" s="176" t="s">
        <v>118</v>
      </c>
      <c r="D34" s="174">
        <f>GETPIVOTDATA("Sum of "&amp;T(Transactions!$J$19),Pivot!$A$3,"Customer",C34)</f>
        <v>554797.0800000001</v>
      </c>
      <c r="E34" s="174">
        <f>GETPIVOTDATA("Sum of "&amp;T(Transactions!$K$19),Pivot!$A$3,"Customer",C34)</f>
        <v>564227.4900000001</v>
      </c>
      <c r="F34" s="174">
        <f t="shared" si="0"/>
        <v>-9430.410000000033</v>
      </c>
      <c r="G34" s="172">
        <f>+GETPIVOTDATA("Sum of "&amp;T(Transactions!$M$19),Pivot!$A$3,"Customer","WFEC")</f>
        <v>-161.35420218703854</v>
      </c>
      <c r="H34" s="175">
        <f t="shared" si="1"/>
        <v>-9591.76420218707</v>
      </c>
      <c r="K34" s="242"/>
    </row>
    <row r="35" spans="3:8" ht="24">
      <c r="C35" s="305" t="s">
        <v>192</v>
      </c>
      <c r="D35" s="306">
        <f>SUM(D21:D34)</f>
        <v>34121511.81</v>
      </c>
      <c r="E35" s="306">
        <f>SUM(E21:E34)</f>
        <v>34784215.32</v>
      </c>
      <c r="F35" s="306">
        <f>SUM(F21:F34)</f>
        <v>-662703.5099999962</v>
      </c>
      <c r="G35" s="307">
        <f>SUM(G21:G34)</f>
        <v>-12912.440528832112</v>
      </c>
      <c r="H35" s="308">
        <f>SUM(H21:H34)</f>
        <v>-675615.9505288281</v>
      </c>
    </row>
    <row r="36" spans="3:9" ht="12.75">
      <c r="C36" s="193" t="s">
        <v>146</v>
      </c>
      <c r="D36" s="174">
        <f>GETPIVOTDATA("Sum of "&amp;T(Transactions!$J$19),Pivot!$A$3,"Customer",C36)</f>
        <v>55373819.31</v>
      </c>
      <c r="E36" s="174">
        <f>GETPIVOTDATA("Sum of "&amp;T(Transactions!$K$19),Pivot!$A$3,"Customer",C36)</f>
        <v>56494265.16</v>
      </c>
      <c r="F36" s="174">
        <f t="shared" si="0"/>
        <v>-1120445.849999994</v>
      </c>
      <c r="G36" s="172">
        <f>+GETPIVOTDATA("Sum of "&amp;T(Transactions!$M$19),Pivot!$A$3,"Customer","PSO")</f>
        <v>-21915.846485973372</v>
      </c>
      <c r="H36" s="175">
        <f t="shared" si="1"/>
        <v>-1142361.6964859674</v>
      </c>
      <c r="I36" s="242"/>
    </row>
    <row r="37" spans="3:8" ht="12.75">
      <c r="C37" s="176" t="s">
        <v>147</v>
      </c>
      <c r="D37" s="174">
        <f>GETPIVOTDATA("Sum of "&amp;T(Transactions!$J$19),Pivot!$A$3,"Customer",C37)</f>
        <v>55706399.28000001</v>
      </c>
      <c r="E37" s="174">
        <f>GETPIVOTDATA("Sum of "&amp;T(Transactions!$K$19),Pivot!$A$3,"Customer",C37)</f>
        <v>56784144.75</v>
      </c>
      <c r="F37" s="174">
        <f t="shared" si="0"/>
        <v>-1077745.4699999914</v>
      </c>
      <c r="G37" s="172">
        <f>+GETPIVOTDATA("Sum of "&amp;T(Transactions!$M$19),Pivot!$A$3,"Customer","SWEPCO")</f>
        <v>-20580.336979288524</v>
      </c>
      <c r="H37" s="175">
        <f t="shared" si="1"/>
        <v>-1098325.80697928</v>
      </c>
    </row>
    <row r="38" spans="3:8" ht="24">
      <c r="C38" s="263" t="s">
        <v>218</v>
      </c>
      <c r="D38" s="264">
        <f>SUM(D36:D37)</f>
        <v>111080218.59</v>
      </c>
      <c r="E38" s="264">
        <f>SUM(E36:E37)</f>
        <v>113278409.91</v>
      </c>
      <c r="F38" s="264">
        <f>SUM(F36:F37)</f>
        <v>-2198191.3199999854</v>
      </c>
      <c r="G38" s="265">
        <f>SUM(G36:G37)</f>
        <v>-42496.1834652619</v>
      </c>
      <c r="H38" s="266">
        <f>SUM(H36:H37)</f>
        <v>-2240687.5034652473</v>
      </c>
    </row>
    <row r="39" spans="3:8" ht="23.25" customHeight="1" thickBot="1">
      <c r="C39" s="240" t="s">
        <v>193</v>
      </c>
      <c r="D39" s="237">
        <f>SUM(D35,D38)</f>
        <v>145201730.4</v>
      </c>
      <c r="E39" s="238">
        <f>SUM(E35,E38)</f>
        <v>148062625.23</v>
      </c>
      <c r="F39" s="237">
        <f>SUM(F35,F38)</f>
        <v>-2860894.8299999814</v>
      </c>
      <c r="G39" s="238">
        <f>SUM(G35,G38)</f>
        <v>-55408.623994094014</v>
      </c>
      <c r="H39" s="239">
        <f>SUM(H35,H38)</f>
        <v>-2916303.4539940753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8515625" style="0" bestFit="1" customWidth="1"/>
  </cols>
  <sheetData>
    <row r="3" spans="1:15" ht="12.75">
      <c r="A3" s="170"/>
      <c r="B3" s="124"/>
      <c r="C3" s="126" t="s">
        <v>220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</row>
    <row r="4" spans="1:15" ht="12.75">
      <c r="A4" s="126" t="s">
        <v>0</v>
      </c>
      <c r="B4" s="126" t="s">
        <v>151</v>
      </c>
      <c r="C4" s="128">
        <v>41275</v>
      </c>
      <c r="D4" s="129">
        <v>41306</v>
      </c>
      <c r="E4" s="129">
        <v>41334</v>
      </c>
      <c r="F4" s="129">
        <v>41365</v>
      </c>
      <c r="G4" s="129">
        <v>41395</v>
      </c>
      <c r="H4" s="129">
        <v>41426</v>
      </c>
      <c r="I4" s="129">
        <v>41456</v>
      </c>
      <c r="J4" s="129">
        <v>41487</v>
      </c>
      <c r="K4" s="129">
        <v>41518</v>
      </c>
      <c r="L4" s="129">
        <v>41548</v>
      </c>
      <c r="M4" s="129">
        <v>41579</v>
      </c>
      <c r="N4" s="129">
        <v>41609</v>
      </c>
      <c r="O4" s="130" t="s">
        <v>143</v>
      </c>
    </row>
    <row r="5" spans="1:15" ht="12.75">
      <c r="A5" s="170" t="s">
        <v>137</v>
      </c>
      <c r="B5" s="170" t="s">
        <v>259</v>
      </c>
      <c r="C5" s="207">
        <v>944049.8700000001</v>
      </c>
      <c r="D5" s="208">
        <v>917204.8500000001</v>
      </c>
      <c r="E5" s="208">
        <v>942558.4800000001</v>
      </c>
      <c r="F5" s="208">
        <v>618926.8500000001</v>
      </c>
      <c r="G5" s="208">
        <v>850092.3</v>
      </c>
      <c r="H5" s="208">
        <v>1106611.3800000001</v>
      </c>
      <c r="I5" s="208">
        <v>1215482.85</v>
      </c>
      <c r="J5" s="208">
        <v>1137930.57</v>
      </c>
      <c r="K5" s="208">
        <v>1033533.27</v>
      </c>
      <c r="L5" s="208">
        <v>847109.52</v>
      </c>
      <c r="M5" s="208">
        <v>917204.8500000001</v>
      </c>
      <c r="N5" s="208">
        <v>988791.5700000001</v>
      </c>
      <c r="O5" s="209">
        <v>11519496.36</v>
      </c>
    </row>
    <row r="6" spans="1:15" ht="12.75">
      <c r="A6" s="169"/>
      <c r="B6" s="127" t="s">
        <v>152</v>
      </c>
      <c r="C6" s="358">
        <v>28409.040000000154</v>
      </c>
      <c r="D6" s="359">
        <v>27601.20000000007</v>
      </c>
      <c r="E6" s="359">
        <v>28364.16000000015</v>
      </c>
      <c r="F6" s="359">
        <v>18625.20000000007</v>
      </c>
      <c r="G6" s="359">
        <v>25581.600000000093</v>
      </c>
      <c r="H6" s="359">
        <v>33300.960000000196</v>
      </c>
      <c r="I6" s="359">
        <v>-77286.44999999995</v>
      </c>
      <c r="J6" s="359">
        <v>-72355.29000000004</v>
      </c>
      <c r="K6" s="359">
        <v>-65717.18999999994</v>
      </c>
      <c r="L6" s="359">
        <v>-53863.439999999944</v>
      </c>
      <c r="M6" s="359">
        <v>-58320.44999999995</v>
      </c>
      <c r="N6" s="359">
        <v>-62872.29000000004</v>
      </c>
      <c r="O6" s="360">
        <v>-228532.94999999914</v>
      </c>
    </row>
    <row r="7" spans="1:15" ht="12.75">
      <c r="A7" s="169"/>
      <c r="B7" s="127" t="s">
        <v>153</v>
      </c>
      <c r="C7" s="358">
        <v>1277.729590595481</v>
      </c>
      <c r="D7" s="359">
        <v>1169.7423147198215</v>
      </c>
      <c r="E7" s="359">
        <v>1126.171784004254</v>
      </c>
      <c r="F7" s="359">
        <v>684.6807712085217</v>
      </c>
      <c r="G7" s="359">
        <v>867.4696726277215</v>
      </c>
      <c r="H7" s="359">
        <v>1031.7485652949708</v>
      </c>
      <c r="I7" s="359">
        <v>-2190.072084272598</v>
      </c>
      <c r="J7" s="359">
        <v>-1845.7227098590793</v>
      </c>
      <c r="K7" s="359">
        <v>-1509.3604806761227</v>
      </c>
      <c r="L7" s="359">
        <v>-1076.2783156030514</v>
      </c>
      <c r="M7" s="359">
        <v>-1012.3051429451925</v>
      </c>
      <c r="N7" s="359">
        <v>-3002.6315798854207</v>
      </c>
      <c r="O7" s="360">
        <v>-4478.827614790694</v>
      </c>
    </row>
    <row r="8" spans="1:15" ht="12.75">
      <c r="A8" s="169"/>
      <c r="B8" s="127" t="s">
        <v>154</v>
      </c>
      <c r="C8" s="358">
        <v>29686.769590595635</v>
      </c>
      <c r="D8" s="359">
        <v>28770.94231471989</v>
      </c>
      <c r="E8" s="359">
        <v>29490.331784004404</v>
      </c>
      <c r="F8" s="359">
        <v>19309.88077120859</v>
      </c>
      <c r="G8" s="359">
        <v>26449.069672627815</v>
      </c>
      <c r="H8" s="359">
        <v>34332.708565295165</v>
      </c>
      <c r="I8" s="359">
        <v>-79476.52208427255</v>
      </c>
      <c r="J8" s="359">
        <v>-74201.01270985912</v>
      </c>
      <c r="K8" s="359">
        <v>-67226.55048067607</v>
      </c>
      <c r="L8" s="359">
        <v>-54939.71831560299</v>
      </c>
      <c r="M8" s="359">
        <v>-59332.75514294515</v>
      </c>
      <c r="N8" s="359">
        <v>-65874.92157988546</v>
      </c>
      <c r="O8" s="360">
        <v>-233011.7776147899</v>
      </c>
    </row>
    <row r="9" spans="1:15" ht="12.75">
      <c r="A9" s="169"/>
      <c r="B9" s="127" t="s">
        <v>214</v>
      </c>
      <c r="C9" s="258">
        <v>915640.83</v>
      </c>
      <c r="D9" s="259">
        <v>889603.65</v>
      </c>
      <c r="E9" s="259">
        <v>914194.32</v>
      </c>
      <c r="F9" s="259">
        <v>600301.65</v>
      </c>
      <c r="G9" s="259">
        <v>824510.7</v>
      </c>
      <c r="H9" s="259">
        <v>1073310.42</v>
      </c>
      <c r="I9" s="259">
        <v>1292769.3</v>
      </c>
      <c r="J9" s="259">
        <v>1210285.86</v>
      </c>
      <c r="K9" s="259">
        <v>1099250.46</v>
      </c>
      <c r="L9" s="259">
        <v>900972.96</v>
      </c>
      <c r="M9" s="259">
        <v>975525.3</v>
      </c>
      <c r="N9" s="259">
        <v>1051663.86</v>
      </c>
      <c r="O9" s="260">
        <v>11748029.309999999</v>
      </c>
    </row>
    <row r="10" spans="1:15" ht="12.75">
      <c r="A10" s="170" t="s">
        <v>142</v>
      </c>
      <c r="B10" s="170" t="s">
        <v>259</v>
      </c>
      <c r="C10" s="207">
        <v>140190.66</v>
      </c>
      <c r="D10" s="208">
        <v>138699.27000000002</v>
      </c>
      <c r="E10" s="208">
        <v>143173.44</v>
      </c>
      <c r="F10" s="208">
        <v>140190.66</v>
      </c>
      <c r="G10" s="208">
        <v>158087.34</v>
      </c>
      <c r="H10" s="208">
        <v>147647.61000000002</v>
      </c>
      <c r="I10" s="208">
        <v>122293.98000000001</v>
      </c>
      <c r="J10" s="208">
        <v>171509.85</v>
      </c>
      <c r="K10" s="208">
        <v>116328.42000000001</v>
      </c>
      <c r="L10" s="208">
        <v>168527.07</v>
      </c>
      <c r="M10" s="208">
        <v>159578.73</v>
      </c>
      <c r="N10" s="208">
        <v>164052.90000000002</v>
      </c>
      <c r="O10" s="209">
        <v>1770279.9300000002</v>
      </c>
    </row>
    <row r="11" spans="1:15" ht="12.75">
      <c r="A11" s="169"/>
      <c r="B11" s="127" t="s">
        <v>152</v>
      </c>
      <c r="C11" s="358">
        <v>4218.720000000001</v>
      </c>
      <c r="D11" s="359">
        <v>4173.840000000026</v>
      </c>
      <c r="E11" s="359">
        <v>4308.4800000000105</v>
      </c>
      <c r="F11" s="359">
        <v>4218.720000000001</v>
      </c>
      <c r="G11" s="359">
        <v>4757.279999999999</v>
      </c>
      <c r="H11" s="359">
        <v>4443.120000000024</v>
      </c>
      <c r="I11" s="359">
        <v>-7776.059999999998</v>
      </c>
      <c r="J11" s="359">
        <v>-10905.450000000012</v>
      </c>
      <c r="K11" s="359">
        <v>-7396.739999999991</v>
      </c>
      <c r="L11" s="359">
        <v>-10715.790000000008</v>
      </c>
      <c r="M11" s="359">
        <v>-10146.809999999998</v>
      </c>
      <c r="N11" s="359">
        <v>-10431.299999999988</v>
      </c>
      <c r="O11" s="360">
        <v>-31251.989999999932</v>
      </c>
    </row>
    <row r="12" spans="1:15" ht="12.75">
      <c r="A12" s="169"/>
      <c r="B12" s="127" t="s">
        <v>153</v>
      </c>
      <c r="C12" s="358">
        <v>189.74183493834852</v>
      </c>
      <c r="D12" s="359">
        <v>176.88786222592486</v>
      </c>
      <c r="E12" s="359">
        <v>171.06406845634191</v>
      </c>
      <c r="F12" s="359">
        <v>155.08431926168873</v>
      </c>
      <c r="G12" s="359">
        <v>161.3189215763827</v>
      </c>
      <c r="H12" s="359">
        <v>137.65917515391118</v>
      </c>
      <c r="I12" s="359">
        <v>-220.3508109329486</v>
      </c>
      <c r="J12" s="359">
        <v>-278.1888750115259</v>
      </c>
      <c r="K12" s="359">
        <v>-169.8847294267497</v>
      </c>
      <c r="L12" s="359">
        <v>-214.11874940694548</v>
      </c>
      <c r="M12" s="359">
        <v>-176.12463462623685</v>
      </c>
      <c r="N12" s="359">
        <v>-498.17416860844</v>
      </c>
      <c r="O12" s="360">
        <v>-565.0857864002485</v>
      </c>
    </row>
    <row r="13" spans="1:15" ht="12.75">
      <c r="A13" s="169"/>
      <c r="B13" s="127" t="s">
        <v>154</v>
      </c>
      <c r="C13" s="358">
        <v>4408.46183493835</v>
      </c>
      <c r="D13" s="359">
        <v>4350.72786222595</v>
      </c>
      <c r="E13" s="359">
        <v>4479.544068456353</v>
      </c>
      <c r="F13" s="359">
        <v>4373.80431926169</v>
      </c>
      <c r="G13" s="359">
        <v>4918.598921576381</v>
      </c>
      <c r="H13" s="359">
        <v>4580.779175153935</v>
      </c>
      <c r="I13" s="359">
        <v>-7996.410810932946</v>
      </c>
      <c r="J13" s="359">
        <v>-11183.638875011538</v>
      </c>
      <c r="K13" s="359">
        <v>-7566.6247294267405</v>
      </c>
      <c r="L13" s="359">
        <v>-10929.908749406954</v>
      </c>
      <c r="M13" s="359">
        <v>-10322.934634626234</v>
      </c>
      <c r="N13" s="359">
        <v>-10929.474168608429</v>
      </c>
      <c r="O13" s="360">
        <v>-31817.075786400186</v>
      </c>
    </row>
    <row r="14" spans="1:15" ht="12.75">
      <c r="A14" s="169"/>
      <c r="B14" s="127" t="s">
        <v>214</v>
      </c>
      <c r="C14" s="258">
        <v>135971.94</v>
      </c>
      <c r="D14" s="259">
        <v>134525.43</v>
      </c>
      <c r="E14" s="259">
        <v>138864.96</v>
      </c>
      <c r="F14" s="259">
        <v>135971.94</v>
      </c>
      <c r="G14" s="259">
        <v>153330.06</v>
      </c>
      <c r="H14" s="259">
        <v>143204.49</v>
      </c>
      <c r="I14" s="259">
        <v>130070.04000000001</v>
      </c>
      <c r="J14" s="259">
        <v>182415.30000000002</v>
      </c>
      <c r="K14" s="259">
        <v>123725.16</v>
      </c>
      <c r="L14" s="259">
        <v>179242.86000000002</v>
      </c>
      <c r="M14" s="259">
        <v>169725.54</v>
      </c>
      <c r="N14" s="259">
        <v>174484.2</v>
      </c>
      <c r="O14" s="260">
        <v>1801531.9200000002</v>
      </c>
    </row>
    <row r="15" spans="1:15" ht="12.75">
      <c r="A15" s="170" t="s">
        <v>136</v>
      </c>
      <c r="B15" s="170" t="s">
        <v>259</v>
      </c>
      <c r="C15" s="207">
        <v>135716.49000000002</v>
      </c>
      <c r="D15" s="208">
        <v>95448.96</v>
      </c>
      <c r="E15" s="208">
        <v>116328.42000000001</v>
      </c>
      <c r="F15" s="208">
        <v>76060.89</v>
      </c>
      <c r="G15" s="208">
        <v>105888.69</v>
      </c>
      <c r="H15" s="208">
        <v>125276.76000000001</v>
      </c>
      <c r="I15" s="208">
        <v>131242.32</v>
      </c>
      <c r="J15" s="208">
        <v>134225.1</v>
      </c>
      <c r="K15" s="208">
        <v>119311.20000000001</v>
      </c>
      <c r="L15" s="208">
        <v>96940.35</v>
      </c>
      <c r="M15" s="208">
        <v>131242.32</v>
      </c>
      <c r="N15" s="208">
        <v>146156.22</v>
      </c>
      <c r="O15" s="209">
        <v>1413837.7200000002</v>
      </c>
    </row>
    <row r="16" spans="1:15" ht="12.75">
      <c r="A16" s="169"/>
      <c r="B16" s="127" t="s">
        <v>152</v>
      </c>
      <c r="C16" s="358">
        <v>4084.0800000000163</v>
      </c>
      <c r="D16" s="359">
        <v>2872.320000000007</v>
      </c>
      <c r="E16" s="359">
        <v>3500.640000000014</v>
      </c>
      <c r="F16" s="359">
        <v>2288.8800000000047</v>
      </c>
      <c r="G16" s="359">
        <v>3186.479999999996</v>
      </c>
      <c r="H16" s="359">
        <v>3769.920000000013</v>
      </c>
      <c r="I16" s="359">
        <v>-8345.040000000008</v>
      </c>
      <c r="J16" s="359">
        <v>-8534.699999999983</v>
      </c>
      <c r="K16" s="359">
        <v>-7586.399999999994</v>
      </c>
      <c r="L16" s="359">
        <v>-6163.949999999997</v>
      </c>
      <c r="M16" s="359">
        <v>-8345.040000000008</v>
      </c>
      <c r="N16" s="359">
        <v>-9293.339999999997</v>
      </c>
      <c r="O16" s="360">
        <v>-28566.149999999936</v>
      </c>
    </row>
    <row r="17" spans="1:15" ht="12.75">
      <c r="A17" s="169"/>
      <c r="B17" s="127" t="s">
        <v>153</v>
      </c>
      <c r="C17" s="358">
        <v>183.6862444615934</v>
      </c>
      <c r="D17" s="359">
        <v>121.72928153181878</v>
      </c>
      <c r="E17" s="359">
        <v>138.98955562077802</v>
      </c>
      <c r="F17" s="359">
        <v>84.14149236538444</v>
      </c>
      <c r="G17" s="359">
        <v>108.05323992380339</v>
      </c>
      <c r="H17" s="359">
        <v>116.80172437301529</v>
      </c>
      <c r="I17" s="359">
        <v>-236.47404100121344</v>
      </c>
      <c r="J17" s="359">
        <v>-217.71303261771527</v>
      </c>
      <c r="K17" s="359">
        <v>-174.24074812999976</v>
      </c>
      <c r="L17" s="359">
        <v>-123.16565231372957</v>
      </c>
      <c r="M17" s="359">
        <v>-144.8501667954099</v>
      </c>
      <c r="N17" s="359">
        <v>-443.82789566933786</v>
      </c>
      <c r="O17" s="360">
        <v>-586.8699982510125</v>
      </c>
    </row>
    <row r="18" spans="1:15" ht="12.75">
      <c r="A18" s="169"/>
      <c r="B18" s="127" t="s">
        <v>154</v>
      </c>
      <c r="C18" s="358">
        <v>4267.76624446161</v>
      </c>
      <c r="D18" s="359">
        <v>2994.0492815318257</v>
      </c>
      <c r="E18" s="359">
        <v>3639.629555620792</v>
      </c>
      <c r="F18" s="359">
        <v>2373.021492365389</v>
      </c>
      <c r="G18" s="359">
        <v>3294.533239923799</v>
      </c>
      <c r="H18" s="359">
        <v>3886.721724373028</v>
      </c>
      <c r="I18" s="359">
        <v>-8581.51404100122</v>
      </c>
      <c r="J18" s="359">
        <v>-8752.413032617698</v>
      </c>
      <c r="K18" s="359">
        <v>-7760.640748129994</v>
      </c>
      <c r="L18" s="359">
        <v>-6287.115652313727</v>
      </c>
      <c r="M18" s="359">
        <v>-8489.890166795418</v>
      </c>
      <c r="N18" s="359">
        <v>-9737.167895669334</v>
      </c>
      <c r="O18" s="360">
        <v>-29153.01999825095</v>
      </c>
    </row>
    <row r="19" spans="1:15" ht="12.75">
      <c r="A19" s="169"/>
      <c r="B19" s="127" t="s">
        <v>214</v>
      </c>
      <c r="C19" s="258">
        <v>131632.41</v>
      </c>
      <c r="D19" s="259">
        <v>92576.64</v>
      </c>
      <c r="E19" s="259">
        <v>112827.78</v>
      </c>
      <c r="F19" s="259">
        <v>73772.01</v>
      </c>
      <c r="G19" s="259">
        <v>102702.21</v>
      </c>
      <c r="H19" s="259">
        <v>121506.84</v>
      </c>
      <c r="I19" s="259">
        <v>139587.36000000002</v>
      </c>
      <c r="J19" s="259">
        <v>142759.8</v>
      </c>
      <c r="K19" s="259">
        <v>126897.6</v>
      </c>
      <c r="L19" s="259">
        <v>103104.3</v>
      </c>
      <c r="M19" s="259">
        <v>139587.36000000002</v>
      </c>
      <c r="N19" s="259">
        <v>155449.56</v>
      </c>
      <c r="O19" s="260">
        <v>1442403.87</v>
      </c>
    </row>
    <row r="20" spans="1:15" ht="12.75">
      <c r="A20" s="170" t="s">
        <v>140</v>
      </c>
      <c r="B20" s="170" t="s">
        <v>259</v>
      </c>
      <c r="C20" s="207">
        <v>10439.730000000001</v>
      </c>
      <c r="D20" s="208">
        <v>5965.56</v>
      </c>
      <c r="E20" s="208">
        <v>7456.950000000001</v>
      </c>
      <c r="F20" s="208">
        <v>11931.12</v>
      </c>
      <c r="G20" s="208">
        <v>11931.12</v>
      </c>
      <c r="H20" s="208">
        <v>19388.07</v>
      </c>
      <c r="I20" s="208">
        <v>20879.460000000003</v>
      </c>
      <c r="J20" s="208">
        <v>20879.460000000003</v>
      </c>
      <c r="K20" s="208">
        <v>17896.68</v>
      </c>
      <c r="L20" s="208">
        <v>10439.730000000001</v>
      </c>
      <c r="M20" s="208">
        <v>8948.34</v>
      </c>
      <c r="N20" s="208">
        <v>11931.12</v>
      </c>
      <c r="O20" s="209">
        <v>158087.34000000003</v>
      </c>
    </row>
    <row r="21" spans="1:15" ht="12.75">
      <c r="A21" s="169"/>
      <c r="B21" s="127" t="s">
        <v>152</v>
      </c>
      <c r="C21" s="358">
        <v>314.1600000000017</v>
      </c>
      <c r="D21" s="359">
        <v>179.52000000000044</v>
      </c>
      <c r="E21" s="359">
        <v>224.40000000000055</v>
      </c>
      <c r="F21" s="359">
        <v>359.0400000000009</v>
      </c>
      <c r="G21" s="359">
        <v>359.0400000000009</v>
      </c>
      <c r="H21" s="359">
        <v>583.4399999999987</v>
      </c>
      <c r="I21" s="359">
        <v>-1327.619999999999</v>
      </c>
      <c r="J21" s="359">
        <v>-1327.619999999999</v>
      </c>
      <c r="K21" s="359">
        <v>-1137.9599999999991</v>
      </c>
      <c r="L21" s="359">
        <v>-663.8099999999995</v>
      </c>
      <c r="M21" s="359">
        <v>-568.9799999999996</v>
      </c>
      <c r="N21" s="359">
        <v>-758.6399999999994</v>
      </c>
      <c r="O21" s="360">
        <v>-3765.0299999999925</v>
      </c>
    </row>
    <row r="22" spans="1:15" ht="12.75">
      <c r="A22" s="169"/>
      <c r="B22" s="127" t="s">
        <v>153</v>
      </c>
      <c r="C22" s="358">
        <v>14.129711112430279</v>
      </c>
      <c r="D22" s="359">
        <v>7.608080095738674</v>
      </c>
      <c r="E22" s="359">
        <v>8.909586898767808</v>
      </c>
      <c r="F22" s="359">
        <v>13.19866546907992</v>
      </c>
      <c r="G22" s="359">
        <v>12.175012949160989</v>
      </c>
      <c r="H22" s="359">
        <v>18.07645734344274</v>
      </c>
      <c r="I22" s="359">
        <v>-37.620870159283896</v>
      </c>
      <c r="J22" s="359">
        <v>-33.86647174053353</v>
      </c>
      <c r="K22" s="359">
        <v>-26.136112219499964</v>
      </c>
      <c r="L22" s="359">
        <v>-13.26399332609395</v>
      </c>
      <c r="M22" s="359">
        <v>-9.876147736050658</v>
      </c>
      <c r="N22" s="359">
        <v>-36.23084862606838</v>
      </c>
      <c r="O22" s="360">
        <v>-82.89692993890996</v>
      </c>
    </row>
    <row r="23" spans="1:15" ht="12.75">
      <c r="A23" s="169"/>
      <c r="B23" s="127" t="s">
        <v>154</v>
      </c>
      <c r="C23" s="358">
        <v>328.289711112432</v>
      </c>
      <c r="D23" s="359">
        <v>187.1280800957391</v>
      </c>
      <c r="E23" s="359">
        <v>233.30958689876834</v>
      </c>
      <c r="F23" s="359">
        <v>372.2386654690808</v>
      </c>
      <c r="G23" s="359">
        <v>371.21501294916186</v>
      </c>
      <c r="H23" s="359">
        <v>601.5164573434414</v>
      </c>
      <c r="I23" s="359">
        <v>-1365.2408701592828</v>
      </c>
      <c r="J23" s="359">
        <v>-1361.4864717405326</v>
      </c>
      <c r="K23" s="359">
        <v>-1164.096112219499</v>
      </c>
      <c r="L23" s="359">
        <v>-677.0739933260934</v>
      </c>
      <c r="M23" s="359">
        <v>-578.8561477360503</v>
      </c>
      <c r="N23" s="359">
        <v>-794.8708486260678</v>
      </c>
      <c r="O23" s="360">
        <v>-3847.9269299389025</v>
      </c>
    </row>
    <row r="24" spans="1:15" ht="12.75">
      <c r="A24" s="169"/>
      <c r="B24" s="127" t="s">
        <v>214</v>
      </c>
      <c r="C24" s="258">
        <v>10125.57</v>
      </c>
      <c r="D24" s="259">
        <v>5786.04</v>
      </c>
      <c r="E24" s="259">
        <v>7232.55</v>
      </c>
      <c r="F24" s="259">
        <v>11572.08</v>
      </c>
      <c r="G24" s="259">
        <v>11572.08</v>
      </c>
      <c r="H24" s="259">
        <v>18804.63</v>
      </c>
      <c r="I24" s="259">
        <v>22207.08</v>
      </c>
      <c r="J24" s="259">
        <v>22207.08</v>
      </c>
      <c r="K24" s="259">
        <v>19034.64</v>
      </c>
      <c r="L24" s="259">
        <v>11103.54</v>
      </c>
      <c r="M24" s="259">
        <v>9517.32</v>
      </c>
      <c r="N24" s="259">
        <v>12689.76</v>
      </c>
      <c r="O24" s="260">
        <v>161852.37000000002</v>
      </c>
    </row>
    <row r="25" spans="1:15" ht="12.75">
      <c r="A25" s="170" t="s">
        <v>141</v>
      </c>
      <c r="B25" s="170" t="s">
        <v>259</v>
      </c>
      <c r="C25" s="207">
        <v>2982.78</v>
      </c>
      <c r="D25" s="208">
        <v>1491.39</v>
      </c>
      <c r="E25" s="208">
        <v>1491.39</v>
      </c>
      <c r="F25" s="208">
        <v>2982.78</v>
      </c>
      <c r="G25" s="208">
        <v>2982.78</v>
      </c>
      <c r="H25" s="208">
        <v>2982.78</v>
      </c>
      <c r="I25" s="208">
        <v>4474.17</v>
      </c>
      <c r="J25" s="208">
        <v>4474.17</v>
      </c>
      <c r="K25" s="208">
        <v>4474.17</v>
      </c>
      <c r="L25" s="208">
        <v>1491.39</v>
      </c>
      <c r="M25" s="208">
        <v>2982.78</v>
      </c>
      <c r="N25" s="208">
        <v>2982.78</v>
      </c>
      <c r="O25" s="209">
        <v>35793.35999999999</v>
      </c>
    </row>
    <row r="26" spans="1:15" ht="12.75">
      <c r="A26" s="169"/>
      <c r="B26" s="127" t="s">
        <v>152</v>
      </c>
      <c r="C26" s="358">
        <v>89.76000000000022</v>
      </c>
      <c r="D26" s="359">
        <v>44.88000000000011</v>
      </c>
      <c r="E26" s="359">
        <v>44.88000000000011</v>
      </c>
      <c r="F26" s="359">
        <v>89.76000000000022</v>
      </c>
      <c r="G26" s="359">
        <v>89.76000000000022</v>
      </c>
      <c r="H26" s="359">
        <v>89.76000000000022</v>
      </c>
      <c r="I26" s="359">
        <v>-284.4899999999998</v>
      </c>
      <c r="J26" s="359">
        <v>-284.4899999999998</v>
      </c>
      <c r="K26" s="359">
        <v>-284.4899999999998</v>
      </c>
      <c r="L26" s="359">
        <v>-94.82999999999993</v>
      </c>
      <c r="M26" s="359">
        <v>-189.65999999999985</v>
      </c>
      <c r="N26" s="359">
        <v>-189.65999999999985</v>
      </c>
      <c r="O26" s="360">
        <v>-878.8199999999979</v>
      </c>
    </row>
    <row r="27" spans="1:15" ht="12.75">
      <c r="A27" s="169"/>
      <c r="B27" s="127" t="s">
        <v>153</v>
      </c>
      <c r="C27" s="358">
        <v>4.037060317837211</v>
      </c>
      <c r="D27" s="359">
        <v>1.9020200239346685</v>
      </c>
      <c r="E27" s="359">
        <v>1.7819173797535617</v>
      </c>
      <c r="F27" s="359">
        <v>3.29966636726998</v>
      </c>
      <c r="G27" s="359">
        <v>3.043753237290247</v>
      </c>
      <c r="H27" s="359">
        <v>2.780993437452742</v>
      </c>
      <c r="I27" s="359">
        <v>-8.061615034132263</v>
      </c>
      <c r="J27" s="359">
        <v>-7.257101087257185</v>
      </c>
      <c r="K27" s="359">
        <v>-6.534028054874991</v>
      </c>
      <c r="L27" s="359">
        <v>-1.8948561894419926</v>
      </c>
      <c r="M27" s="359">
        <v>-3.2920492453502197</v>
      </c>
      <c r="N27" s="359">
        <v>-9.057712156517095</v>
      </c>
      <c r="O27" s="360">
        <v>-19.251951004035334</v>
      </c>
    </row>
    <row r="28" spans="1:15" ht="12.75">
      <c r="A28" s="169"/>
      <c r="B28" s="127" t="s">
        <v>154</v>
      </c>
      <c r="C28" s="358">
        <v>93.79706031783743</v>
      </c>
      <c r="D28" s="359">
        <v>46.78202002393478</v>
      </c>
      <c r="E28" s="359">
        <v>46.66191737975367</v>
      </c>
      <c r="F28" s="359">
        <v>93.0596663672702</v>
      </c>
      <c r="G28" s="359">
        <v>92.80375323729046</v>
      </c>
      <c r="H28" s="359">
        <v>92.54099343745295</v>
      </c>
      <c r="I28" s="359">
        <v>-292.55161503413206</v>
      </c>
      <c r="J28" s="359">
        <v>-291.74710108725697</v>
      </c>
      <c r="K28" s="359">
        <v>-291.02402805487475</v>
      </c>
      <c r="L28" s="359">
        <v>-96.72485618944192</v>
      </c>
      <c r="M28" s="359">
        <v>-192.95204924535008</v>
      </c>
      <c r="N28" s="359">
        <v>-198.71771215651694</v>
      </c>
      <c r="O28" s="360">
        <v>-898.0719510040333</v>
      </c>
    </row>
    <row r="29" spans="1:15" ht="12.75">
      <c r="A29" s="169"/>
      <c r="B29" s="127" t="s">
        <v>214</v>
      </c>
      <c r="C29" s="258">
        <v>2893.02</v>
      </c>
      <c r="D29" s="259">
        <v>1446.51</v>
      </c>
      <c r="E29" s="259">
        <v>1446.51</v>
      </c>
      <c r="F29" s="259">
        <v>2893.02</v>
      </c>
      <c r="G29" s="259">
        <v>2893.02</v>
      </c>
      <c r="H29" s="259">
        <v>2893.02</v>
      </c>
      <c r="I29" s="259">
        <v>4758.66</v>
      </c>
      <c r="J29" s="259">
        <v>4758.66</v>
      </c>
      <c r="K29" s="259">
        <v>4758.66</v>
      </c>
      <c r="L29" s="259">
        <v>1586.22</v>
      </c>
      <c r="M29" s="259">
        <v>3172.44</v>
      </c>
      <c r="N29" s="259">
        <v>3172.44</v>
      </c>
      <c r="O29" s="260">
        <v>36672.18000000001</v>
      </c>
    </row>
    <row r="30" spans="1:15" ht="12.75">
      <c r="A30" s="170" t="s">
        <v>138</v>
      </c>
      <c r="B30" s="170" t="s">
        <v>259</v>
      </c>
      <c r="C30" s="207">
        <v>1054412.73</v>
      </c>
      <c r="D30" s="208">
        <v>839652.5700000001</v>
      </c>
      <c r="E30" s="208">
        <v>976860.4500000001</v>
      </c>
      <c r="F30" s="208">
        <v>611469.9</v>
      </c>
      <c r="G30" s="208">
        <v>826230.06</v>
      </c>
      <c r="H30" s="208">
        <v>955980.9900000001</v>
      </c>
      <c r="I30" s="208">
        <v>981334.6200000001</v>
      </c>
      <c r="J30" s="208">
        <v>1023093.54</v>
      </c>
      <c r="K30" s="208">
        <v>944049.8700000001</v>
      </c>
      <c r="L30" s="208">
        <v>739729.4400000001</v>
      </c>
      <c r="M30" s="208">
        <v>988791.5700000001</v>
      </c>
      <c r="N30" s="208">
        <v>1105119.99</v>
      </c>
      <c r="O30" s="209">
        <v>11046725.73</v>
      </c>
    </row>
    <row r="31" spans="1:15" ht="12.75">
      <c r="A31" s="169"/>
      <c r="B31" s="127" t="s">
        <v>152</v>
      </c>
      <c r="C31" s="358">
        <v>31730.160000000033</v>
      </c>
      <c r="D31" s="359">
        <v>25267.44000000006</v>
      </c>
      <c r="E31" s="359">
        <v>29396.400000000023</v>
      </c>
      <c r="F31" s="359">
        <v>18400.800000000047</v>
      </c>
      <c r="G31" s="359">
        <v>24863.52000000002</v>
      </c>
      <c r="H31" s="359">
        <v>28768.080000000075</v>
      </c>
      <c r="I31" s="359">
        <v>-62398.1399999999</v>
      </c>
      <c r="J31" s="359">
        <v>-65053.37999999989</v>
      </c>
      <c r="K31" s="359">
        <v>-60027.3899999999</v>
      </c>
      <c r="L31" s="359">
        <v>-47035.679999999935</v>
      </c>
      <c r="M31" s="359">
        <v>-62872.29000000004</v>
      </c>
      <c r="N31" s="359">
        <v>-70269.03000000003</v>
      </c>
      <c r="O31" s="360">
        <v>-209229.50999999943</v>
      </c>
    </row>
    <row r="32" spans="1:15" ht="12.75">
      <c r="A32" s="169"/>
      <c r="B32" s="127" t="s">
        <v>153</v>
      </c>
      <c r="C32" s="358">
        <v>1427.100822355452</v>
      </c>
      <c r="D32" s="359">
        <v>1070.8372734752184</v>
      </c>
      <c r="E32" s="359">
        <v>1167.1558837385808</v>
      </c>
      <c r="F32" s="359">
        <v>676.4316052903459</v>
      </c>
      <c r="G32" s="359">
        <v>843.1196467293971</v>
      </c>
      <c r="H32" s="359">
        <v>891.3083967036041</v>
      </c>
      <c r="I32" s="359">
        <v>-1768.1808974863413</v>
      </c>
      <c r="J32" s="359">
        <v>-1659.4571152861413</v>
      </c>
      <c r="K32" s="359">
        <v>-1378.679919578622</v>
      </c>
      <c r="L32" s="359">
        <v>-939.8486699632278</v>
      </c>
      <c r="M32" s="359">
        <v>-1091.3143248335994</v>
      </c>
      <c r="N32" s="359">
        <v>-3355.8823539895875</v>
      </c>
      <c r="O32" s="360">
        <v>-4117.409652844921</v>
      </c>
    </row>
    <row r="33" spans="1:15" ht="12.75">
      <c r="A33" s="169"/>
      <c r="B33" s="127" t="s">
        <v>154</v>
      </c>
      <c r="C33" s="358">
        <v>33157.260822355485</v>
      </c>
      <c r="D33" s="359">
        <v>26338.27727347528</v>
      </c>
      <c r="E33" s="359">
        <v>30563.555883738605</v>
      </c>
      <c r="F33" s="359">
        <v>19077.23160529039</v>
      </c>
      <c r="G33" s="359">
        <v>25706.639646729414</v>
      </c>
      <c r="H33" s="359">
        <v>29659.388396703678</v>
      </c>
      <c r="I33" s="359">
        <v>-64166.320897486235</v>
      </c>
      <c r="J33" s="359">
        <v>-66712.83711528603</v>
      </c>
      <c r="K33" s="359">
        <v>-61406.06991957852</v>
      </c>
      <c r="L33" s="359">
        <v>-47975.52866996316</v>
      </c>
      <c r="M33" s="359">
        <v>-63963.604324833635</v>
      </c>
      <c r="N33" s="359">
        <v>-73624.91235398961</v>
      </c>
      <c r="O33" s="360">
        <v>-213346.91965284434</v>
      </c>
    </row>
    <row r="34" spans="1:15" ht="12.75">
      <c r="A34" s="169"/>
      <c r="B34" s="127" t="s">
        <v>214</v>
      </c>
      <c r="C34" s="258">
        <v>1022682.57</v>
      </c>
      <c r="D34" s="259">
        <v>814385.13</v>
      </c>
      <c r="E34" s="259">
        <v>947464.05</v>
      </c>
      <c r="F34" s="259">
        <v>593069.1</v>
      </c>
      <c r="G34" s="259">
        <v>801366.54</v>
      </c>
      <c r="H34" s="259">
        <v>927212.91</v>
      </c>
      <c r="I34" s="259">
        <v>1043732.76</v>
      </c>
      <c r="J34" s="259">
        <v>1088146.92</v>
      </c>
      <c r="K34" s="259">
        <v>1004077.26</v>
      </c>
      <c r="L34" s="259">
        <v>786765.12</v>
      </c>
      <c r="M34" s="259">
        <v>1051663.86</v>
      </c>
      <c r="N34" s="259">
        <v>1175389.02</v>
      </c>
      <c r="O34" s="260">
        <v>11255955.239999998</v>
      </c>
    </row>
    <row r="35" spans="1:15" ht="12.75">
      <c r="A35" s="170" t="s">
        <v>144</v>
      </c>
      <c r="B35" s="170" t="s">
        <v>259</v>
      </c>
      <c r="C35" s="207">
        <v>28336.410000000003</v>
      </c>
      <c r="D35" s="208">
        <v>31319.190000000002</v>
      </c>
      <c r="E35" s="208">
        <v>26845.02</v>
      </c>
      <c r="F35" s="208">
        <v>31319.190000000002</v>
      </c>
      <c r="G35" s="208">
        <v>32810.58</v>
      </c>
      <c r="H35" s="208">
        <v>20879.460000000003</v>
      </c>
      <c r="I35" s="208">
        <v>26845.02</v>
      </c>
      <c r="J35" s="208">
        <v>31319.190000000002</v>
      </c>
      <c r="K35" s="208">
        <v>29827.800000000003</v>
      </c>
      <c r="L35" s="208">
        <v>35793.36</v>
      </c>
      <c r="M35" s="208">
        <v>34301.97</v>
      </c>
      <c r="N35" s="208">
        <v>29827.800000000003</v>
      </c>
      <c r="O35" s="209">
        <v>359424.98999999993</v>
      </c>
    </row>
    <row r="36" spans="1:15" ht="12.75">
      <c r="A36" s="169"/>
      <c r="B36" s="127" t="s">
        <v>152</v>
      </c>
      <c r="C36" s="358">
        <v>852.7200000000048</v>
      </c>
      <c r="D36" s="359">
        <v>942.4800000000032</v>
      </c>
      <c r="E36" s="359">
        <v>807.8400000000001</v>
      </c>
      <c r="F36" s="359">
        <v>942.4800000000032</v>
      </c>
      <c r="G36" s="359">
        <v>987.3600000000006</v>
      </c>
      <c r="H36" s="359">
        <v>628.3200000000033</v>
      </c>
      <c r="I36" s="359">
        <v>-1706.9399999999987</v>
      </c>
      <c r="J36" s="359">
        <v>-1991.4300000000003</v>
      </c>
      <c r="K36" s="359">
        <v>-1896.5999999999985</v>
      </c>
      <c r="L36" s="359">
        <v>-2275.9199999999983</v>
      </c>
      <c r="M36" s="359">
        <v>-2181.0899999999965</v>
      </c>
      <c r="N36" s="359">
        <v>-1896.5999999999985</v>
      </c>
      <c r="O36" s="360">
        <v>-6787.379999999976</v>
      </c>
    </row>
    <row r="37" spans="1:15" ht="12.75">
      <c r="A37" s="169"/>
      <c r="B37" s="127" t="s">
        <v>153</v>
      </c>
      <c r="C37" s="358">
        <v>38.35207301945363</v>
      </c>
      <c r="D37" s="359">
        <v>39.94242050262808</v>
      </c>
      <c r="E37" s="359">
        <v>32.074512835564036</v>
      </c>
      <c r="F37" s="359">
        <v>34.64649685633483</v>
      </c>
      <c r="G37" s="359">
        <v>33.481285610192664</v>
      </c>
      <c r="H37" s="359">
        <v>19.46695406216925</v>
      </c>
      <c r="I37" s="359">
        <v>-48.36969020479358</v>
      </c>
      <c r="J37" s="359">
        <v>-50.79970761080034</v>
      </c>
      <c r="K37" s="359">
        <v>-43.56018703249994</v>
      </c>
      <c r="L37" s="359">
        <v>-45.47654854660782</v>
      </c>
      <c r="M37" s="359">
        <v>-37.85856632152749</v>
      </c>
      <c r="N37" s="359">
        <v>-90.57712156517094</v>
      </c>
      <c r="O37" s="360">
        <v>-118.67807839505767</v>
      </c>
    </row>
    <row r="38" spans="1:15" ht="12.75">
      <c r="A38" s="169"/>
      <c r="B38" s="127" t="s">
        <v>154</v>
      </c>
      <c r="C38" s="358">
        <v>891.0720730194585</v>
      </c>
      <c r="D38" s="359">
        <v>982.4224205026313</v>
      </c>
      <c r="E38" s="359">
        <v>839.9145128355642</v>
      </c>
      <c r="F38" s="359">
        <v>977.126496856338</v>
      </c>
      <c r="G38" s="359">
        <v>1020.8412856101933</v>
      </c>
      <c r="H38" s="359">
        <v>647.7869540621726</v>
      </c>
      <c r="I38" s="359">
        <v>-1755.3096902047923</v>
      </c>
      <c r="J38" s="359">
        <v>-2042.2297076108007</v>
      </c>
      <c r="K38" s="359">
        <v>-1940.1601870324985</v>
      </c>
      <c r="L38" s="359">
        <v>-2321.396548546606</v>
      </c>
      <c r="M38" s="359">
        <v>-2218.948566321524</v>
      </c>
      <c r="N38" s="359">
        <v>-1987.1771215651695</v>
      </c>
      <c r="O38" s="360">
        <v>-6906.058078395034</v>
      </c>
    </row>
    <row r="39" spans="1:15" ht="12.75">
      <c r="A39" s="169"/>
      <c r="B39" s="127" t="s">
        <v>214</v>
      </c>
      <c r="C39" s="258">
        <v>27483.69</v>
      </c>
      <c r="D39" s="259">
        <v>30376.71</v>
      </c>
      <c r="E39" s="259">
        <v>26037.18</v>
      </c>
      <c r="F39" s="259">
        <v>30376.71</v>
      </c>
      <c r="G39" s="259">
        <v>31823.22</v>
      </c>
      <c r="H39" s="259">
        <v>20251.14</v>
      </c>
      <c r="I39" s="259">
        <v>28551.96</v>
      </c>
      <c r="J39" s="259">
        <v>33310.62</v>
      </c>
      <c r="K39" s="259">
        <v>31724.4</v>
      </c>
      <c r="L39" s="259">
        <v>38069.28</v>
      </c>
      <c r="M39" s="259">
        <v>36483.06</v>
      </c>
      <c r="N39" s="259">
        <v>31724.4</v>
      </c>
      <c r="O39" s="260">
        <v>366212.36999999994</v>
      </c>
    </row>
    <row r="40" spans="1:15" ht="12.75">
      <c r="A40" s="170" t="s">
        <v>117</v>
      </c>
      <c r="B40" s="170" t="s">
        <v>259</v>
      </c>
      <c r="C40" s="207">
        <v>126768.15000000001</v>
      </c>
      <c r="D40" s="208">
        <v>122293.98000000001</v>
      </c>
      <c r="E40" s="208">
        <v>114837.03000000001</v>
      </c>
      <c r="F40" s="208">
        <v>132733.71000000002</v>
      </c>
      <c r="G40" s="208">
        <v>190897.92</v>
      </c>
      <c r="H40" s="208">
        <v>235639.62000000002</v>
      </c>
      <c r="I40" s="208">
        <v>231165.45</v>
      </c>
      <c r="J40" s="208">
        <v>238622.40000000002</v>
      </c>
      <c r="K40" s="208">
        <v>211777.38</v>
      </c>
      <c r="L40" s="208">
        <v>175984.02000000002</v>
      </c>
      <c r="M40" s="208">
        <v>113345.64000000001</v>
      </c>
      <c r="N40" s="208">
        <v>137207.88</v>
      </c>
      <c r="O40" s="209">
        <v>2031273.1800000002</v>
      </c>
    </row>
    <row r="41" spans="1:15" ht="12.75">
      <c r="A41" s="169"/>
      <c r="B41" s="127" t="s">
        <v>152</v>
      </c>
      <c r="C41" s="358">
        <v>3814.800000000003</v>
      </c>
      <c r="D41" s="359">
        <v>3680.160000000018</v>
      </c>
      <c r="E41" s="359">
        <v>3455.7600000000093</v>
      </c>
      <c r="F41" s="359">
        <v>3994.3200000000215</v>
      </c>
      <c r="G41" s="359">
        <v>5744.640000000014</v>
      </c>
      <c r="H41" s="359">
        <v>7091.040000000037</v>
      </c>
      <c r="I41" s="359">
        <v>-14698.649999999994</v>
      </c>
      <c r="J41" s="359">
        <v>-15172.799999999988</v>
      </c>
      <c r="K41" s="359">
        <v>-13465.859999999986</v>
      </c>
      <c r="L41" s="359">
        <v>-11189.939999999973</v>
      </c>
      <c r="M41" s="359">
        <v>-7207.079999999987</v>
      </c>
      <c r="N41" s="359">
        <v>-8724.359999999986</v>
      </c>
      <c r="O41" s="360">
        <v>-42677.96999999981</v>
      </c>
    </row>
    <row r="42" spans="1:15" ht="12.75">
      <c r="A42" s="169"/>
      <c r="B42" s="127" t="s">
        <v>153</v>
      </c>
      <c r="C42" s="358">
        <v>171.57506350808114</v>
      </c>
      <c r="D42" s="359">
        <v>155.9656419626432</v>
      </c>
      <c r="E42" s="359">
        <v>137.20763824102428</v>
      </c>
      <c r="F42" s="359">
        <v>146.83515334351455</v>
      </c>
      <c r="G42" s="359">
        <v>194.80020718657582</v>
      </c>
      <c r="H42" s="359">
        <v>219.69848155876727</v>
      </c>
      <c r="I42" s="359">
        <v>-416.5167767635004</v>
      </c>
      <c r="J42" s="359">
        <v>-387.04539132038315</v>
      </c>
      <c r="K42" s="359">
        <v>-309.2773279307495</v>
      </c>
      <c r="L42" s="359">
        <v>-223.59303035415476</v>
      </c>
      <c r="M42" s="359">
        <v>-125.09787132330823</v>
      </c>
      <c r="N42" s="359">
        <v>-416.65475919978604</v>
      </c>
      <c r="O42" s="360">
        <v>-852.102971091276</v>
      </c>
    </row>
    <row r="43" spans="1:15" ht="12.75">
      <c r="A43" s="169"/>
      <c r="B43" s="127" t="s">
        <v>154</v>
      </c>
      <c r="C43" s="358">
        <v>3986.375063508084</v>
      </c>
      <c r="D43" s="359">
        <v>3836.125641962661</v>
      </c>
      <c r="E43" s="359">
        <v>3592.9676382410335</v>
      </c>
      <c r="F43" s="359">
        <v>4141.155153343536</v>
      </c>
      <c r="G43" s="359">
        <v>5939.44020718659</v>
      </c>
      <c r="H43" s="359">
        <v>7310.738481558805</v>
      </c>
      <c r="I43" s="359">
        <v>-15115.166776763495</v>
      </c>
      <c r="J43" s="359">
        <v>-15559.845391320372</v>
      </c>
      <c r="K43" s="359">
        <v>-13775.137327930735</v>
      </c>
      <c r="L43" s="359">
        <v>-11413.533030354129</v>
      </c>
      <c r="M43" s="359">
        <v>-7332.177871323295</v>
      </c>
      <c r="N43" s="359">
        <v>-9141.014759199772</v>
      </c>
      <c r="O43" s="360">
        <v>-43530.07297109109</v>
      </c>
    </row>
    <row r="44" spans="1:15" ht="12.75">
      <c r="A44" s="169"/>
      <c r="B44" s="127" t="s">
        <v>214</v>
      </c>
      <c r="C44" s="258">
        <v>122953.35</v>
      </c>
      <c r="D44" s="259">
        <v>118613.81999999999</v>
      </c>
      <c r="E44" s="259">
        <v>111381.27</v>
      </c>
      <c r="F44" s="259">
        <v>128739.39</v>
      </c>
      <c r="G44" s="259">
        <v>185153.28</v>
      </c>
      <c r="H44" s="259">
        <v>228548.58</v>
      </c>
      <c r="I44" s="259">
        <v>245864.1</v>
      </c>
      <c r="J44" s="259">
        <v>253795.2</v>
      </c>
      <c r="K44" s="259">
        <v>225243.24</v>
      </c>
      <c r="L44" s="259">
        <v>187173.96</v>
      </c>
      <c r="M44" s="259">
        <v>120552.72</v>
      </c>
      <c r="N44" s="259">
        <v>145932.24</v>
      </c>
      <c r="O44" s="260">
        <v>2073951.15</v>
      </c>
    </row>
    <row r="45" spans="1:15" ht="12.75">
      <c r="A45" s="170" t="s">
        <v>146</v>
      </c>
      <c r="B45" s="170" t="s">
        <v>259</v>
      </c>
      <c r="C45" s="207">
        <v>3774708.0900000003</v>
      </c>
      <c r="D45" s="208">
        <v>3713561.1</v>
      </c>
      <c r="E45" s="208">
        <v>3804535.89</v>
      </c>
      <c r="F45" s="208">
        <v>3758302.8000000003</v>
      </c>
      <c r="G45" s="208">
        <v>4562162.010000001</v>
      </c>
      <c r="H45" s="208">
        <v>6011793.090000001</v>
      </c>
      <c r="I45" s="208">
        <v>5943189.15</v>
      </c>
      <c r="J45" s="208">
        <v>5946171.930000001</v>
      </c>
      <c r="K45" s="208">
        <v>5370495.390000001</v>
      </c>
      <c r="L45" s="208">
        <v>4739637.42</v>
      </c>
      <c r="M45" s="208">
        <v>3634517.43</v>
      </c>
      <c r="N45" s="208">
        <v>4114745.0100000002</v>
      </c>
      <c r="O45" s="209">
        <v>55373819.31</v>
      </c>
    </row>
    <row r="46" spans="1:15" ht="12.75">
      <c r="A46" s="169"/>
      <c r="B46" s="127" t="s">
        <v>152</v>
      </c>
      <c r="C46" s="358">
        <v>113591.28000000026</v>
      </c>
      <c r="D46" s="359">
        <v>111751.20000000019</v>
      </c>
      <c r="E46" s="359">
        <v>114488.88000000035</v>
      </c>
      <c r="F46" s="359">
        <v>113097.6000000001</v>
      </c>
      <c r="G46" s="359">
        <v>137287.92000000086</v>
      </c>
      <c r="H46" s="359">
        <v>180911.2800000012</v>
      </c>
      <c r="I46" s="359">
        <v>-377897.5499999998</v>
      </c>
      <c r="J46" s="359">
        <v>-378087.20999999903</v>
      </c>
      <c r="K46" s="359">
        <v>-341482.82999999914</v>
      </c>
      <c r="L46" s="359">
        <v>-301369.7400000002</v>
      </c>
      <c r="M46" s="359">
        <v>-231100.70999999996</v>
      </c>
      <c r="N46" s="359">
        <v>-261635.9700000002</v>
      </c>
      <c r="O46" s="360">
        <v>-1120445.8499999954</v>
      </c>
    </row>
    <row r="47" spans="1:15" ht="12.75">
      <c r="A47" s="169"/>
      <c r="B47" s="127" t="s">
        <v>153</v>
      </c>
      <c r="C47" s="358">
        <v>5108.899832222989</v>
      </c>
      <c r="D47" s="359">
        <v>4736.029859597321</v>
      </c>
      <c r="E47" s="359">
        <v>4545.671235751339</v>
      </c>
      <c r="F47" s="359">
        <v>4157.579622760169</v>
      </c>
      <c r="G47" s="359">
        <v>4655.420576435451</v>
      </c>
      <c r="H47" s="359">
        <v>5605.0922731860255</v>
      </c>
      <c r="I47" s="359">
        <v>-10708.511970339026</v>
      </c>
      <c r="J47" s="359">
        <v>-9644.687344964781</v>
      </c>
      <c r="K47" s="359">
        <v>-7843.011675201601</v>
      </c>
      <c r="L47" s="359">
        <v>-6021.8529700466615</v>
      </c>
      <c r="M47" s="359">
        <v>-4011.3620054592448</v>
      </c>
      <c r="N47" s="359">
        <v>-12495.113919915353</v>
      </c>
      <c r="O47" s="360">
        <v>-21915.846485973372</v>
      </c>
    </row>
    <row r="48" spans="1:15" ht="12.75">
      <c r="A48" s="169"/>
      <c r="B48" s="127" t="s">
        <v>154</v>
      </c>
      <c r="C48" s="358">
        <v>118700.17983222325</v>
      </c>
      <c r="D48" s="359">
        <v>116487.2298595975</v>
      </c>
      <c r="E48" s="359">
        <v>119034.55123575169</v>
      </c>
      <c r="F48" s="359">
        <v>117255.17962276026</v>
      </c>
      <c r="G48" s="359">
        <v>141943.3405764363</v>
      </c>
      <c r="H48" s="359">
        <v>186516.3722731872</v>
      </c>
      <c r="I48" s="359">
        <v>-388606.06197033887</v>
      </c>
      <c r="J48" s="359">
        <v>-387731.8973449638</v>
      </c>
      <c r="K48" s="359">
        <v>-349325.84167520073</v>
      </c>
      <c r="L48" s="359">
        <v>-307391.5929700469</v>
      </c>
      <c r="M48" s="359">
        <v>-235112.0720054592</v>
      </c>
      <c r="N48" s="359">
        <v>-274131.08391991555</v>
      </c>
      <c r="O48" s="360">
        <v>-1142361.696485969</v>
      </c>
    </row>
    <row r="49" spans="1:15" ht="12.75">
      <c r="A49" s="169"/>
      <c r="B49" s="127" t="s">
        <v>214</v>
      </c>
      <c r="C49" s="258">
        <v>3661116.81</v>
      </c>
      <c r="D49" s="259">
        <v>3601809.9</v>
      </c>
      <c r="E49" s="259">
        <v>3690047.01</v>
      </c>
      <c r="F49" s="259">
        <v>3645205.2</v>
      </c>
      <c r="G49" s="259">
        <v>4424874.09</v>
      </c>
      <c r="H49" s="259">
        <v>5830881.81</v>
      </c>
      <c r="I49" s="259">
        <v>6321086.7</v>
      </c>
      <c r="J49" s="259">
        <v>6324259.14</v>
      </c>
      <c r="K49" s="259">
        <v>5711978.22</v>
      </c>
      <c r="L49" s="259">
        <v>5041007.16</v>
      </c>
      <c r="M49" s="259">
        <v>3865618.14</v>
      </c>
      <c r="N49" s="259">
        <v>4376380.98</v>
      </c>
      <c r="O49" s="260">
        <v>56494265.16</v>
      </c>
    </row>
    <row r="50" spans="1:15" ht="12.75">
      <c r="A50" s="170" t="s">
        <v>147</v>
      </c>
      <c r="B50" s="170" t="s">
        <v>259</v>
      </c>
      <c r="C50" s="207">
        <v>4416751.485</v>
      </c>
      <c r="D50" s="208">
        <v>3863445.7950000004</v>
      </c>
      <c r="E50" s="208">
        <v>4018550.3550000004</v>
      </c>
      <c r="F50" s="208">
        <v>3847040.5050000004</v>
      </c>
      <c r="G50" s="208">
        <v>4671779.175000001</v>
      </c>
      <c r="H50" s="208">
        <v>5489060.8950000005</v>
      </c>
      <c r="I50" s="208">
        <v>5418965.565</v>
      </c>
      <c r="J50" s="208">
        <v>5556173.445</v>
      </c>
      <c r="K50" s="208">
        <v>5392120.545</v>
      </c>
      <c r="L50" s="208">
        <v>4454036.235</v>
      </c>
      <c r="M50" s="208">
        <v>4103559.5850000004</v>
      </c>
      <c r="N50" s="208">
        <v>4474915.695</v>
      </c>
      <c r="O50" s="209">
        <v>55706399.28000001</v>
      </c>
    </row>
    <row r="51" spans="1:15" ht="12.75">
      <c r="A51" s="169"/>
      <c r="B51" s="127" t="s">
        <v>152</v>
      </c>
      <c r="C51" s="358">
        <v>132912.1200000001</v>
      </c>
      <c r="D51" s="359">
        <v>116261.6400000006</v>
      </c>
      <c r="E51" s="359">
        <v>120929.16000000061</v>
      </c>
      <c r="F51" s="359">
        <v>115767.96000000043</v>
      </c>
      <c r="G51" s="359">
        <v>140586.60000000056</v>
      </c>
      <c r="H51" s="359">
        <v>165180.84000000078</v>
      </c>
      <c r="I51" s="359">
        <v>-344564.8049999997</v>
      </c>
      <c r="J51" s="359">
        <v>-353289.16500000004</v>
      </c>
      <c r="K51" s="359">
        <v>-342857.8650000002</v>
      </c>
      <c r="L51" s="359">
        <v>-283209.7949999999</v>
      </c>
      <c r="M51" s="359">
        <v>-260924.74499999965</v>
      </c>
      <c r="N51" s="359">
        <v>-284537.41500000004</v>
      </c>
      <c r="O51" s="360">
        <v>-1077745.4699999965</v>
      </c>
    </row>
    <row r="52" spans="1:15" ht="12.75">
      <c r="A52" s="169"/>
      <c r="B52" s="127" t="s">
        <v>153</v>
      </c>
      <c r="C52" s="358">
        <v>5977.87706563744</v>
      </c>
      <c r="D52" s="359">
        <v>4927.1828720027725</v>
      </c>
      <c r="E52" s="359">
        <v>4801.376379745984</v>
      </c>
      <c r="F52" s="359">
        <v>4255.744697186463</v>
      </c>
      <c r="G52" s="359">
        <v>4767.278507905858</v>
      </c>
      <c r="H52" s="359">
        <v>5117.723173272421</v>
      </c>
      <c r="I52" s="359">
        <v>-9763.959408839859</v>
      </c>
      <c r="J52" s="359">
        <v>-9012.110033525554</v>
      </c>
      <c r="K52" s="359">
        <v>-7874.592810800188</v>
      </c>
      <c r="L52" s="359">
        <v>-5658.988009768514</v>
      </c>
      <c r="M52" s="359">
        <v>-4529.0367492905625</v>
      </c>
      <c r="N52" s="359">
        <v>-13588.832662814784</v>
      </c>
      <c r="O52" s="360">
        <v>-20580.336979288524</v>
      </c>
    </row>
    <row r="53" spans="1:15" ht="12.75">
      <c r="A53" s="169"/>
      <c r="B53" s="127" t="s">
        <v>154</v>
      </c>
      <c r="C53" s="358">
        <v>138889.99706563755</v>
      </c>
      <c r="D53" s="359">
        <v>121188.82287200337</v>
      </c>
      <c r="E53" s="359">
        <v>125730.5363797466</v>
      </c>
      <c r="F53" s="359">
        <v>120023.70469718688</v>
      </c>
      <c r="G53" s="359">
        <v>145353.87850790643</v>
      </c>
      <c r="H53" s="359">
        <v>170298.5631732732</v>
      </c>
      <c r="I53" s="359">
        <v>-354328.7644088396</v>
      </c>
      <c r="J53" s="359">
        <v>-362301.2750335256</v>
      </c>
      <c r="K53" s="359">
        <v>-350732.4578108004</v>
      </c>
      <c r="L53" s="359">
        <v>-288868.78300976846</v>
      </c>
      <c r="M53" s="359">
        <v>-265453.7817492902</v>
      </c>
      <c r="N53" s="359">
        <v>-298126.2476628148</v>
      </c>
      <c r="O53" s="360">
        <v>-1098325.806979285</v>
      </c>
    </row>
    <row r="54" spans="1:15" ht="12.75">
      <c r="A54" s="169"/>
      <c r="B54" s="127" t="s">
        <v>214</v>
      </c>
      <c r="C54" s="258">
        <v>4283839.365</v>
      </c>
      <c r="D54" s="259">
        <v>3747184.155</v>
      </c>
      <c r="E54" s="259">
        <v>3897621.195</v>
      </c>
      <c r="F54" s="259">
        <v>3731272.545</v>
      </c>
      <c r="G54" s="259">
        <v>4531192.575</v>
      </c>
      <c r="H54" s="259">
        <v>5323880.055</v>
      </c>
      <c r="I54" s="259">
        <v>5763530.37</v>
      </c>
      <c r="J54" s="259">
        <v>5909462.61</v>
      </c>
      <c r="K54" s="259">
        <v>5734978.41</v>
      </c>
      <c r="L54" s="259">
        <v>4737246.03</v>
      </c>
      <c r="M54" s="259">
        <v>4364484.33</v>
      </c>
      <c r="N54" s="259">
        <v>4759453.11</v>
      </c>
      <c r="O54" s="260">
        <v>56784144.75</v>
      </c>
    </row>
    <row r="55" spans="1:15" ht="12.75">
      <c r="A55" s="170" t="s">
        <v>139</v>
      </c>
      <c r="B55" s="170" t="s">
        <v>259</v>
      </c>
      <c r="C55" s="207">
        <v>162561.51</v>
      </c>
      <c r="D55" s="208">
        <v>110362.86</v>
      </c>
      <c r="E55" s="208">
        <v>143173.44</v>
      </c>
      <c r="F55" s="208">
        <v>101414.52</v>
      </c>
      <c r="G55" s="208">
        <v>132733.71000000002</v>
      </c>
      <c r="H55" s="208">
        <v>158087.34</v>
      </c>
      <c r="I55" s="208">
        <v>162561.51</v>
      </c>
      <c r="J55" s="208">
        <v>171509.85</v>
      </c>
      <c r="K55" s="208">
        <v>138699.27000000002</v>
      </c>
      <c r="L55" s="208">
        <v>123785.37000000001</v>
      </c>
      <c r="M55" s="208">
        <v>152121.78</v>
      </c>
      <c r="N55" s="208">
        <v>156595.95</v>
      </c>
      <c r="O55" s="209">
        <v>1713607.11</v>
      </c>
    </row>
    <row r="56" spans="1:15" ht="12.75">
      <c r="A56" s="169"/>
      <c r="B56" s="127" t="s">
        <v>152</v>
      </c>
      <c r="C56" s="358">
        <v>4891.920000000013</v>
      </c>
      <c r="D56" s="359">
        <v>3321.1199999999953</v>
      </c>
      <c r="E56" s="359">
        <v>4308.4800000000105</v>
      </c>
      <c r="F56" s="359">
        <v>3051.840000000011</v>
      </c>
      <c r="G56" s="359">
        <v>3994.3200000000215</v>
      </c>
      <c r="H56" s="359">
        <v>4757.279999999999</v>
      </c>
      <c r="I56" s="359">
        <v>-10336.470000000001</v>
      </c>
      <c r="J56" s="359">
        <v>-10905.450000000012</v>
      </c>
      <c r="K56" s="359">
        <v>-8819.189999999973</v>
      </c>
      <c r="L56" s="359">
        <v>-7870.889999999999</v>
      </c>
      <c r="M56" s="359">
        <v>-9672.660000000003</v>
      </c>
      <c r="N56" s="359">
        <v>-9957.149999999994</v>
      </c>
      <c r="O56" s="360">
        <v>-33236.84999999993</v>
      </c>
    </row>
    <row r="57" spans="1:15" ht="12.75">
      <c r="A57" s="169"/>
      <c r="B57" s="127" t="s">
        <v>153</v>
      </c>
      <c r="C57" s="358">
        <v>220.01978732212802</v>
      </c>
      <c r="D57" s="359">
        <v>140.74948177116494</v>
      </c>
      <c r="E57" s="359">
        <v>171.06406845634191</v>
      </c>
      <c r="F57" s="359">
        <v>112.18865648717946</v>
      </c>
      <c r="G57" s="359">
        <v>135.44701905941642</v>
      </c>
      <c r="H57" s="359">
        <v>147.39265218499494</v>
      </c>
      <c r="I57" s="359">
        <v>-292.9053462401391</v>
      </c>
      <c r="J57" s="359">
        <v>-278.1888750115259</v>
      </c>
      <c r="K57" s="359">
        <v>-202.5548697011243</v>
      </c>
      <c r="L57" s="359">
        <v>-157.27306372368548</v>
      </c>
      <c r="M57" s="359">
        <v>-167.8945115128614</v>
      </c>
      <c r="N57" s="359">
        <v>-475.5298882171476</v>
      </c>
      <c r="O57" s="360">
        <v>-647.4848891252582</v>
      </c>
    </row>
    <row r="58" spans="1:15" ht="12.75">
      <c r="A58" s="169"/>
      <c r="B58" s="127" t="s">
        <v>154</v>
      </c>
      <c r="C58" s="358">
        <v>5111.939787322141</v>
      </c>
      <c r="D58" s="359">
        <v>3461.8694817711603</v>
      </c>
      <c r="E58" s="359">
        <v>4479.544068456353</v>
      </c>
      <c r="F58" s="359">
        <v>3164.0286564871903</v>
      </c>
      <c r="G58" s="359">
        <v>4129.767019059438</v>
      </c>
      <c r="H58" s="359">
        <v>4904.672652184994</v>
      </c>
      <c r="I58" s="359">
        <v>-10629.37534624014</v>
      </c>
      <c r="J58" s="359">
        <v>-11183.638875011538</v>
      </c>
      <c r="K58" s="359">
        <v>-9021.744869701097</v>
      </c>
      <c r="L58" s="359">
        <v>-8028.163063723685</v>
      </c>
      <c r="M58" s="359">
        <v>-9840.554511512864</v>
      </c>
      <c r="N58" s="359">
        <v>-10432.679888217142</v>
      </c>
      <c r="O58" s="360">
        <v>-33884.33488912519</v>
      </c>
    </row>
    <row r="59" spans="1:15" ht="12.75">
      <c r="A59" s="169"/>
      <c r="B59" s="127" t="s">
        <v>214</v>
      </c>
      <c r="C59" s="258">
        <v>157669.59</v>
      </c>
      <c r="D59" s="259">
        <v>107041.74</v>
      </c>
      <c r="E59" s="259">
        <v>138864.96</v>
      </c>
      <c r="F59" s="259">
        <v>98362.68</v>
      </c>
      <c r="G59" s="259">
        <v>128739.39</v>
      </c>
      <c r="H59" s="259">
        <v>153330.06</v>
      </c>
      <c r="I59" s="259">
        <v>172897.98</v>
      </c>
      <c r="J59" s="259">
        <v>182415.30000000002</v>
      </c>
      <c r="K59" s="259">
        <v>147518.46</v>
      </c>
      <c r="L59" s="259">
        <v>131656.26</v>
      </c>
      <c r="M59" s="259">
        <v>161794.44</v>
      </c>
      <c r="N59" s="259">
        <v>166553.1</v>
      </c>
      <c r="O59" s="260">
        <v>1746843.96</v>
      </c>
    </row>
    <row r="60" spans="1:15" ht="12.75">
      <c r="A60" s="170" t="s">
        <v>118</v>
      </c>
      <c r="B60" s="170" t="s">
        <v>259</v>
      </c>
      <c r="C60" s="207">
        <v>47724.48</v>
      </c>
      <c r="D60" s="208">
        <v>49215.87</v>
      </c>
      <c r="E60" s="208">
        <v>46233.090000000004</v>
      </c>
      <c r="F60" s="208">
        <v>38776.14</v>
      </c>
      <c r="G60" s="208">
        <v>44741.700000000004</v>
      </c>
      <c r="H60" s="208">
        <v>49215.87</v>
      </c>
      <c r="I60" s="208">
        <v>49215.87</v>
      </c>
      <c r="J60" s="208">
        <v>50707.26</v>
      </c>
      <c r="K60" s="208">
        <v>46233.090000000004</v>
      </c>
      <c r="L60" s="208">
        <v>41758.920000000006</v>
      </c>
      <c r="M60" s="208">
        <v>46233.090000000004</v>
      </c>
      <c r="N60" s="208">
        <v>44741.700000000004</v>
      </c>
      <c r="O60" s="209">
        <v>554797.0800000001</v>
      </c>
    </row>
    <row r="61" spans="1:15" ht="12.75">
      <c r="A61" s="169"/>
      <c r="B61" s="127" t="s">
        <v>152</v>
      </c>
      <c r="C61" s="358">
        <v>1436.1600000000035</v>
      </c>
      <c r="D61" s="359">
        <v>1481.0400000000009</v>
      </c>
      <c r="E61" s="359">
        <v>1391.280000000006</v>
      </c>
      <c r="F61" s="359">
        <v>1166.8799999999974</v>
      </c>
      <c r="G61" s="359">
        <v>1346.4000000000015</v>
      </c>
      <c r="H61" s="359">
        <v>1481.0400000000009</v>
      </c>
      <c r="I61" s="359">
        <v>-3129.3899999999994</v>
      </c>
      <c r="J61" s="359">
        <v>-3224.220000000001</v>
      </c>
      <c r="K61" s="359">
        <v>-2939.729999999996</v>
      </c>
      <c r="L61" s="359">
        <v>-2655.239999999998</v>
      </c>
      <c r="M61" s="359">
        <v>-2939.729999999996</v>
      </c>
      <c r="N61" s="359">
        <v>-2844.899999999994</v>
      </c>
      <c r="O61" s="360">
        <v>-9430.409999999974</v>
      </c>
    </row>
    <row r="62" spans="1:15" ht="12.75">
      <c r="A62" s="169"/>
      <c r="B62" s="127" t="s">
        <v>153</v>
      </c>
      <c r="C62" s="358">
        <v>64.59296508539538</v>
      </c>
      <c r="D62" s="359">
        <v>62.76666078984395</v>
      </c>
      <c r="E62" s="359">
        <v>55.23943877236052</v>
      </c>
      <c r="F62" s="359">
        <v>42.89566277450954</v>
      </c>
      <c r="G62" s="359">
        <v>45.656298559353644</v>
      </c>
      <c r="H62" s="359">
        <v>45.88639171797016</v>
      </c>
      <c r="I62" s="359">
        <v>-88.67776537545494</v>
      </c>
      <c r="J62" s="359">
        <v>-82.2471456555815</v>
      </c>
      <c r="K62" s="359">
        <v>-67.51828990037487</v>
      </c>
      <c r="L62" s="359">
        <v>-53.0559733043758</v>
      </c>
      <c r="M62" s="359">
        <v>-51.02676330292837</v>
      </c>
      <c r="N62" s="359">
        <v>-135.86568234775626</v>
      </c>
      <c r="O62" s="360">
        <v>-161.35420218703854</v>
      </c>
    </row>
    <row r="63" spans="1:15" ht="12.75">
      <c r="A63" s="169"/>
      <c r="B63" s="127" t="s">
        <v>154</v>
      </c>
      <c r="C63" s="358">
        <v>1500.752965085399</v>
      </c>
      <c r="D63" s="359">
        <v>1543.8066607898447</v>
      </c>
      <c r="E63" s="359">
        <v>1446.5194387723666</v>
      </c>
      <c r="F63" s="359">
        <v>1209.7756627745068</v>
      </c>
      <c r="G63" s="359">
        <v>1392.0562985593551</v>
      </c>
      <c r="H63" s="359">
        <v>1526.926391717971</v>
      </c>
      <c r="I63" s="359">
        <v>-3218.067765375454</v>
      </c>
      <c r="J63" s="359">
        <v>-3306.4671456555825</v>
      </c>
      <c r="K63" s="359">
        <v>-3007.2482899003708</v>
      </c>
      <c r="L63" s="359">
        <v>-2708.2959733043735</v>
      </c>
      <c r="M63" s="359">
        <v>-2990.7567633029244</v>
      </c>
      <c r="N63" s="359">
        <v>-2980.7656823477505</v>
      </c>
      <c r="O63" s="360">
        <v>-9591.76420218701</v>
      </c>
    </row>
    <row r="64" spans="1:15" ht="12.75">
      <c r="A64" s="169"/>
      <c r="B64" s="127" t="s">
        <v>214</v>
      </c>
      <c r="C64" s="258">
        <v>46288.32</v>
      </c>
      <c r="D64" s="259">
        <v>47734.83</v>
      </c>
      <c r="E64" s="259">
        <v>44841.81</v>
      </c>
      <c r="F64" s="259">
        <v>37609.26</v>
      </c>
      <c r="G64" s="259">
        <v>43395.3</v>
      </c>
      <c r="H64" s="259">
        <v>47734.83</v>
      </c>
      <c r="I64" s="259">
        <v>52345.26</v>
      </c>
      <c r="J64" s="259">
        <v>53931.48</v>
      </c>
      <c r="K64" s="259">
        <v>49172.82</v>
      </c>
      <c r="L64" s="259">
        <v>44414.16</v>
      </c>
      <c r="M64" s="259">
        <v>49172.82</v>
      </c>
      <c r="N64" s="259">
        <v>47586.6</v>
      </c>
      <c r="O64" s="260">
        <v>564227.4900000001</v>
      </c>
    </row>
    <row r="65" spans="1:15" ht="12.75">
      <c r="A65" s="170" t="s">
        <v>221</v>
      </c>
      <c r="B65" s="170" t="s">
        <v>259</v>
      </c>
      <c r="C65" s="207">
        <v>134225.1</v>
      </c>
      <c r="D65" s="208">
        <v>129750.93000000001</v>
      </c>
      <c r="E65" s="208">
        <v>138699.27000000002</v>
      </c>
      <c r="F65" s="208">
        <v>131242.32</v>
      </c>
      <c r="G65" s="208">
        <v>153613.17</v>
      </c>
      <c r="H65" s="208">
        <v>217742.94</v>
      </c>
      <c r="I65" s="208">
        <v>223708.50000000003</v>
      </c>
      <c r="J65" s="208">
        <v>201337.65000000002</v>
      </c>
      <c r="K65" s="208">
        <v>186423.75</v>
      </c>
      <c r="L65" s="208">
        <v>167035.68000000002</v>
      </c>
      <c r="M65" s="208">
        <v>129750.93000000001</v>
      </c>
      <c r="N65" s="208">
        <v>134225.1</v>
      </c>
      <c r="O65" s="209">
        <v>1947755.3400000003</v>
      </c>
    </row>
    <row r="66" spans="1:15" ht="12.75">
      <c r="A66" s="169"/>
      <c r="B66" s="127" t="s">
        <v>152</v>
      </c>
      <c r="C66" s="258">
        <v>4039.2000000000116</v>
      </c>
      <c r="D66" s="259">
        <v>3904.560000000012</v>
      </c>
      <c r="E66" s="259">
        <v>4173.840000000026</v>
      </c>
      <c r="F66" s="259">
        <v>3949.4400000000023</v>
      </c>
      <c r="G66" s="259">
        <v>4622.640000000014</v>
      </c>
      <c r="H66" s="259">
        <v>6552.4800000000105</v>
      </c>
      <c r="I66" s="259">
        <v>-14224.49999999997</v>
      </c>
      <c r="J66" s="259">
        <v>-12802.049999999988</v>
      </c>
      <c r="K66" s="259">
        <v>-11853.75</v>
      </c>
      <c r="L66" s="259">
        <v>-10620.959999999992</v>
      </c>
      <c r="M66" s="259">
        <v>-8250.210000000006</v>
      </c>
      <c r="N66" s="259">
        <v>-8534.699999999983</v>
      </c>
      <c r="O66" s="260">
        <v>-39044.009999999864</v>
      </c>
    </row>
    <row r="67" spans="1:15" ht="12.75">
      <c r="A67" s="169"/>
      <c r="B67" s="127" t="s">
        <v>153</v>
      </c>
      <c r="C67" s="258">
        <v>181.66771430267457</v>
      </c>
      <c r="D67" s="259">
        <v>165.4757420823163</v>
      </c>
      <c r="E67" s="259">
        <v>165.71831631708184</v>
      </c>
      <c r="F67" s="259">
        <v>145.18532015987884</v>
      </c>
      <c r="G67" s="259">
        <v>156.75329172044786</v>
      </c>
      <c r="H67" s="259">
        <v>203.01252093405003</v>
      </c>
      <c r="I67" s="259">
        <v>-403.0807517066126</v>
      </c>
      <c r="J67" s="259">
        <v>-326.56954892657325</v>
      </c>
      <c r="K67" s="259">
        <v>-272.2511689531249</v>
      </c>
      <c r="L67" s="259">
        <v>-212.2238932175032</v>
      </c>
      <c r="M67" s="259">
        <v>-143.2041421727348</v>
      </c>
      <c r="N67" s="259">
        <v>-407.5970470432688</v>
      </c>
      <c r="O67" s="260">
        <v>-747.1136465033682</v>
      </c>
    </row>
    <row r="68" spans="1:15" ht="12.75">
      <c r="A68" s="169"/>
      <c r="B68" s="127" t="s">
        <v>154</v>
      </c>
      <c r="C68" s="258">
        <v>4220.867714302686</v>
      </c>
      <c r="D68" s="259">
        <v>4070.0357420823284</v>
      </c>
      <c r="E68" s="259">
        <v>4339.558316317108</v>
      </c>
      <c r="F68" s="259">
        <v>4094.625320159881</v>
      </c>
      <c r="G68" s="259">
        <v>4779.393291720462</v>
      </c>
      <c r="H68" s="259">
        <v>6755.492520934061</v>
      </c>
      <c r="I68" s="259">
        <v>-14627.580751706584</v>
      </c>
      <c r="J68" s="259">
        <v>-13128.619548926561</v>
      </c>
      <c r="K68" s="259">
        <v>-12126.001168953126</v>
      </c>
      <c r="L68" s="259">
        <v>-10833.183893217494</v>
      </c>
      <c r="M68" s="259">
        <v>-8393.414142172742</v>
      </c>
      <c r="N68" s="259">
        <v>-8942.297047043252</v>
      </c>
      <c r="O68" s="260">
        <v>-39791.12364650323</v>
      </c>
    </row>
    <row r="69" spans="1:15" ht="12.75">
      <c r="A69" s="169"/>
      <c r="B69" s="127" t="s">
        <v>214</v>
      </c>
      <c r="C69" s="258">
        <v>130185.9</v>
      </c>
      <c r="D69" s="259">
        <v>125846.37</v>
      </c>
      <c r="E69" s="259">
        <v>134525.43</v>
      </c>
      <c r="F69" s="259">
        <v>127292.88</v>
      </c>
      <c r="G69" s="259">
        <v>148990.53</v>
      </c>
      <c r="H69" s="259">
        <v>211190.46</v>
      </c>
      <c r="I69" s="259">
        <v>237933</v>
      </c>
      <c r="J69" s="259">
        <v>214139.7</v>
      </c>
      <c r="K69" s="259">
        <v>198277.5</v>
      </c>
      <c r="L69" s="259">
        <v>177656.64</v>
      </c>
      <c r="M69" s="259">
        <v>138001.14</v>
      </c>
      <c r="N69" s="259">
        <v>142759.8</v>
      </c>
      <c r="O69" s="260">
        <v>1986799.3499999999</v>
      </c>
    </row>
    <row r="70" spans="1:15" ht="12.75">
      <c r="A70" s="170" t="s">
        <v>222</v>
      </c>
      <c r="B70" s="170" t="s">
        <v>259</v>
      </c>
      <c r="C70" s="207">
        <v>19388.07</v>
      </c>
      <c r="D70" s="208">
        <v>16405.29</v>
      </c>
      <c r="E70" s="208">
        <v>16405.29</v>
      </c>
      <c r="F70" s="208">
        <v>19388.07</v>
      </c>
      <c r="G70" s="208">
        <v>16405.29</v>
      </c>
      <c r="H70" s="208">
        <v>23862.24</v>
      </c>
      <c r="I70" s="208">
        <v>23862.24</v>
      </c>
      <c r="J70" s="208">
        <v>26845.02</v>
      </c>
      <c r="K70" s="208">
        <v>17896.68</v>
      </c>
      <c r="L70" s="208">
        <v>17896.68</v>
      </c>
      <c r="M70" s="208">
        <v>10439.730000000001</v>
      </c>
      <c r="N70" s="208">
        <v>16405.29</v>
      </c>
      <c r="O70" s="209">
        <v>225199.89</v>
      </c>
    </row>
    <row r="71" spans="1:15" ht="12.75">
      <c r="A71" s="169"/>
      <c r="B71" s="127" t="s">
        <v>152</v>
      </c>
      <c r="C71" s="258">
        <v>583.4399999999987</v>
      </c>
      <c r="D71" s="259">
        <v>493.6800000000003</v>
      </c>
      <c r="E71" s="259">
        <v>493.6800000000003</v>
      </c>
      <c r="F71" s="259">
        <v>583.4399999999987</v>
      </c>
      <c r="G71" s="259">
        <v>493.6800000000003</v>
      </c>
      <c r="H71" s="259">
        <v>718.0800000000017</v>
      </c>
      <c r="I71" s="259">
        <v>-1517.2799999999988</v>
      </c>
      <c r="J71" s="259">
        <v>-1706.9399999999987</v>
      </c>
      <c r="K71" s="259">
        <v>-1137.9599999999991</v>
      </c>
      <c r="L71" s="259">
        <v>-1137.9599999999991</v>
      </c>
      <c r="M71" s="259">
        <v>-663.8099999999995</v>
      </c>
      <c r="N71" s="259">
        <v>-1043.130000000001</v>
      </c>
      <c r="O71" s="260">
        <v>-3841.0799999999963</v>
      </c>
    </row>
    <row r="72" spans="1:15" ht="12.75">
      <c r="A72" s="169"/>
      <c r="B72" s="127" t="s">
        <v>153</v>
      </c>
      <c r="C72" s="258">
        <v>26.240892065941743</v>
      </c>
      <c r="D72" s="259">
        <v>20.922220263281314</v>
      </c>
      <c r="E72" s="259">
        <v>19.601091177289142</v>
      </c>
      <c r="F72" s="259">
        <v>21.44783138725477</v>
      </c>
      <c r="G72" s="259">
        <v>16.740642805096332</v>
      </c>
      <c r="H72" s="259">
        <v>22.247947499621937</v>
      </c>
      <c r="I72" s="259">
        <v>-42.995280182038734</v>
      </c>
      <c r="J72" s="259">
        <v>-43.54260652354311</v>
      </c>
      <c r="K72" s="259">
        <v>-26.136112219499964</v>
      </c>
      <c r="L72" s="259">
        <v>-22.73827427330391</v>
      </c>
      <c r="M72" s="259">
        <v>-11.522172358725769</v>
      </c>
      <c r="N72" s="259">
        <v>-49.817416860844105</v>
      </c>
      <c r="O72" s="260">
        <v>-69.55123721947035</v>
      </c>
    </row>
    <row r="73" spans="1:15" ht="12.75">
      <c r="A73" s="169"/>
      <c r="B73" s="127" t="s">
        <v>154</v>
      </c>
      <c r="C73" s="258">
        <v>609.6808920659404</v>
      </c>
      <c r="D73" s="259">
        <v>514.6022202632817</v>
      </c>
      <c r="E73" s="259">
        <v>513.2810911772895</v>
      </c>
      <c r="F73" s="259">
        <v>604.8878313872534</v>
      </c>
      <c r="G73" s="259">
        <v>510.42064280509663</v>
      </c>
      <c r="H73" s="259">
        <v>740.3279474996236</v>
      </c>
      <c r="I73" s="259">
        <v>-1560.2752801820375</v>
      </c>
      <c r="J73" s="259">
        <v>-1750.4826065235418</v>
      </c>
      <c r="K73" s="259">
        <v>-1164.096112219499</v>
      </c>
      <c r="L73" s="259">
        <v>-1160.698274273303</v>
      </c>
      <c r="M73" s="259">
        <v>-675.3321723587253</v>
      </c>
      <c r="N73" s="259">
        <v>-1092.9474168608451</v>
      </c>
      <c r="O73" s="260">
        <v>-3910.631237219466</v>
      </c>
    </row>
    <row r="74" spans="1:15" ht="12.75">
      <c r="A74" s="169"/>
      <c r="B74" s="127" t="s">
        <v>214</v>
      </c>
      <c r="C74" s="258">
        <v>18804.63</v>
      </c>
      <c r="D74" s="259">
        <v>15911.61</v>
      </c>
      <c r="E74" s="259">
        <v>15911.61</v>
      </c>
      <c r="F74" s="259">
        <v>18804.63</v>
      </c>
      <c r="G74" s="259">
        <v>15911.61</v>
      </c>
      <c r="H74" s="259">
        <v>23144.16</v>
      </c>
      <c r="I74" s="259">
        <v>25379.52</v>
      </c>
      <c r="J74" s="259">
        <v>28551.96</v>
      </c>
      <c r="K74" s="259">
        <v>19034.64</v>
      </c>
      <c r="L74" s="259">
        <v>19034.64</v>
      </c>
      <c r="M74" s="259">
        <v>11103.54</v>
      </c>
      <c r="N74" s="259">
        <v>17448.420000000002</v>
      </c>
      <c r="O74" s="260">
        <v>229040.97000000003</v>
      </c>
    </row>
    <row r="75" spans="1:15" ht="12.75">
      <c r="A75" s="170" t="s">
        <v>223</v>
      </c>
      <c r="B75" s="170" t="s">
        <v>259</v>
      </c>
      <c r="C75" s="207">
        <v>35793.36</v>
      </c>
      <c r="D75" s="208">
        <v>31319.190000000002</v>
      </c>
      <c r="E75" s="208">
        <v>28336.410000000003</v>
      </c>
      <c r="F75" s="208">
        <v>35793.36</v>
      </c>
      <c r="G75" s="208">
        <v>46233.090000000004</v>
      </c>
      <c r="H75" s="208">
        <v>55181.43</v>
      </c>
      <c r="I75" s="208">
        <v>55181.43</v>
      </c>
      <c r="J75" s="208">
        <v>49215.87</v>
      </c>
      <c r="K75" s="208">
        <v>58164.21000000001</v>
      </c>
      <c r="L75" s="208">
        <v>44741.700000000004</v>
      </c>
      <c r="M75" s="208">
        <v>31319.190000000002</v>
      </c>
      <c r="N75" s="208">
        <v>34301.97</v>
      </c>
      <c r="O75" s="209">
        <v>505581.2100000001</v>
      </c>
    </row>
    <row r="76" spans="1:15" ht="12.75">
      <c r="A76" s="169"/>
      <c r="B76" s="127" t="s">
        <v>152</v>
      </c>
      <c r="C76" s="258">
        <v>1077.1200000000026</v>
      </c>
      <c r="D76" s="259">
        <v>942.4800000000032</v>
      </c>
      <c r="E76" s="259">
        <v>852.7200000000048</v>
      </c>
      <c r="F76" s="259">
        <v>1077.1200000000026</v>
      </c>
      <c r="G76" s="259">
        <v>1391.280000000006</v>
      </c>
      <c r="H76" s="259">
        <v>1660.5599999999977</v>
      </c>
      <c r="I76" s="259">
        <v>-3508.709999999999</v>
      </c>
      <c r="J76" s="259">
        <v>-3129.3899999999994</v>
      </c>
      <c r="K76" s="259">
        <v>-3698.3699999999953</v>
      </c>
      <c r="L76" s="259">
        <v>-2844.899999999994</v>
      </c>
      <c r="M76" s="259">
        <v>-1991.4300000000003</v>
      </c>
      <c r="N76" s="259">
        <v>-2181.0899999999965</v>
      </c>
      <c r="O76" s="260">
        <v>-10352.609999999968</v>
      </c>
    </row>
    <row r="77" spans="1:15" ht="12.75">
      <c r="A77" s="169"/>
      <c r="B77" s="127" t="s">
        <v>153</v>
      </c>
      <c r="C77" s="258">
        <v>48.44472381404653</v>
      </c>
      <c r="D77" s="259">
        <v>39.94242050262808</v>
      </c>
      <c r="E77" s="259">
        <v>33.856430215317786</v>
      </c>
      <c r="F77" s="259">
        <v>39.59599640723976</v>
      </c>
      <c r="G77" s="259">
        <v>47.17817517799893</v>
      </c>
      <c r="H77" s="259">
        <v>51.44837859287553</v>
      </c>
      <c r="I77" s="259">
        <v>-99.42658542096463</v>
      </c>
      <c r="J77" s="259">
        <v>-79.82811195982907</v>
      </c>
      <c r="K77" s="259">
        <v>-84.94236471337484</v>
      </c>
      <c r="L77" s="259">
        <v>-56.8456856832597</v>
      </c>
      <c r="M77" s="259">
        <v>-34.566517076177334</v>
      </c>
      <c r="N77" s="259">
        <v>-104.16368979994651</v>
      </c>
      <c r="O77" s="260">
        <v>-199.30682994344545</v>
      </c>
    </row>
    <row r="78" spans="1:15" ht="12.75">
      <c r="A78" s="169"/>
      <c r="B78" s="127" t="s">
        <v>154</v>
      </c>
      <c r="C78" s="258">
        <v>1125.564723814049</v>
      </c>
      <c r="D78" s="259">
        <v>982.4224205026313</v>
      </c>
      <c r="E78" s="259">
        <v>886.5764302153226</v>
      </c>
      <c r="F78" s="259">
        <v>1116.7159964072423</v>
      </c>
      <c r="G78" s="259">
        <v>1438.4581751780051</v>
      </c>
      <c r="H78" s="259">
        <v>1712.0083785928732</v>
      </c>
      <c r="I78" s="259">
        <v>-3608.136585420964</v>
      </c>
      <c r="J78" s="259">
        <v>-3209.2181119598285</v>
      </c>
      <c r="K78" s="259">
        <v>-3783.3123647133702</v>
      </c>
      <c r="L78" s="259">
        <v>-2901.7456856832537</v>
      </c>
      <c r="M78" s="259">
        <v>-2025.9965170761777</v>
      </c>
      <c r="N78" s="259">
        <v>-2285.253689799943</v>
      </c>
      <c r="O78" s="260">
        <v>-10551.916829943413</v>
      </c>
    </row>
    <row r="79" spans="1:15" ht="12.75">
      <c r="A79" s="169"/>
      <c r="B79" s="127" t="s">
        <v>214</v>
      </c>
      <c r="C79" s="258">
        <v>34716.24</v>
      </c>
      <c r="D79" s="259">
        <v>30376.71</v>
      </c>
      <c r="E79" s="259">
        <v>27483.69</v>
      </c>
      <c r="F79" s="259">
        <v>34716.24</v>
      </c>
      <c r="G79" s="259">
        <v>44841.81</v>
      </c>
      <c r="H79" s="259">
        <v>53520.87</v>
      </c>
      <c r="I79" s="259">
        <v>58690.14</v>
      </c>
      <c r="J79" s="259">
        <v>52345.26</v>
      </c>
      <c r="K79" s="259">
        <v>61862.58</v>
      </c>
      <c r="L79" s="259">
        <v>47586.6</v>
      </c>
      <c r="M79" s="259">
        <v>33310.62</v>
      </c>
      <c r="N79" s="259">
        <v>36483.06</v>
      </c>
      <c r="O79" s="260">
        <v>515933.82</v>
      </c>
    </row>
    <row r="80" spans="1:15" ht="12.75">
      <c r="A80" s="170" t="s">
        <v>224</v>
      </c>
      <c r="B80" s="170" t="s">
        <v>259</v>
      </c>
      <c r="C80" s="207">
        <v>64129.770000000004</v>
      </c>
      <c r="D80" s="208">
        <v>61146.990000000005</v>
      </c>
      <c r="E80" s="208">
        <v>62638.380000000005</v>
      </c>
      <c r="F80" s="208">
        <v>62638.380000000005</v>
      </c>
      <c r="G80" s="208">
        <v>70095.33</v>
      </c>
      <c r="H80" s="208">
        <v>87992.01000000001</v>
      </c>
      <c r="I80" s="208">
        <v>89483.40000000001</v>
      </c>
      <c r="J80" s="208">
        <v>87992.01000000001</v>
      </c>
      <c r="K80" s="208">
        <v>74569.5</v>
      </c>
      <c r="L80" s="208">
        <v>71586.72</v>
      </c>
      <c r="M80" s="208">
        <v>52198.65</v>
      </c>
      <c r="N80" s="208">
        <v>55181.43</v>
      </c>
      <c r="O80" s="209">
        <v>839652.5700000001</v>
      </c>
    </row>
    <row r="81" spans="1:15" ht="12.75">
      <c r="A81" s="169"/>
      <c r="B81" s="127" t="s">
        <v>152</v>
      </c>
      <c r="C81" s="258">
        <v>1929.8400000000038</v>
      </c>
      <c r="D81" s="259">
        <v>1840.080000000009</v>
      </c>
      <c r="E81" s="259">
        <v>1884.9600000000064</v>
      </c>
      <c r="F81" s="259">
        <v>1884.9600000000064</v>
      </c>
      <c r="G81" s="259">
        <v>2109.3600000000006</v>
      </c>
      <c r="H81" s="259">
        <v>2647.920000000013</v>
      </c>
      <c r="I81" s="259">
        <v>-5689.799999999988</v>
      </c>
      <c r="J81" s="259">
        <v>-5594.969999999987</v>
      </c>
      <c r="K81" s="259">
        <v>-4741.5</v>
      </c>
      <c r="L81" s="259">
        <v>-4551.8399999999965</v>
      </c>
      <c r="M81" s="259">
        <v>-3319.050000000003</v>
      </c>
      <c r="N81" s="259">
        <v>-3508.709999999999</v>
      </c>
      <c r="O81" s="260">
        <v>-15108.749999999935</v>
      </c>
    </row>
    <row r="82" spans="1:15" ht="12.75">
      <c r="A82" s="169"/>
      <c r="B82" s="127" t="s">
        <v>153</v>
      </c>
      <c r="C82" s="258">
        <v>86.79679683349998</v>
      </c>
      <c r="D82" s="259">
        <v>77.9828209813216</v>
      </c>
      <c r="E82" s="259">
        <v>74.84052994964966</v>
      </c>
      <c r="F82" s="259">
        <v>69.29299371266966</v>
      </c>
      <c r="G82" s="259">
        <v>71.52820107632066</v>
      </c>
      <c r="H82" s="259">
        <v>82.03930640485609</v>
      </c>
      <c r="I82" s="259">
        <v>-161.23230068264505</v>
      </c>
      <c r="J82" s="259">
        <v>-142.72298804939106</v>
      </c>
      <c r="K82" s="259">
        <v>-108.90046758124994</v>
      </c>
      <c r="L82" s="259">
        <v>-90.95309709321565</v>
      </c>
      <c r="M82" s="259">
        <v>-57.61086179362894</v>
      </c>
      <c r="N82" s="259">
        <v>-167.56767489556634</v>
      </c>
      <c r="O82" s="260">
        <v>-266.5067411373793</v>
      </c>
    </row>
    <row r="83" spans="1:15" ht="12.75">
      <c r="A83" s="169"/>
      <c r="B83" s="127" t="s">
        <v>154</v>
      </c>
      <c r="C83" s="258">
        <v>2016.6367968335037</v>
      </c>
      <c r="D83" s="259">
        <v>1918.0628209813306</v>
      </c>
      <c r="E83" s="259">
        <v>1959.800529949656</v>
      </c>
      <c r="F83" s="259">
        <v>1954.252993712676</v>
      </c>
      <c r="G83" s="259">
        <v>2180.8882010763214</v>
      </c>
      <c r="H83" s="259">
        <v>2729.959306404869</v>
      </c>
      <c r="I83" s="259">
        <v>-5851.032300682634</v>
      </c>
      <c r="J83" s="259">
        <v>-5737.692988049378</v>
      </c>
      <c r="K83" s="259">
        <v>-4850.40046758125</v>
      </c>
      <c r="L83" s="259">
        <v>-4642.793097093212</v>
      </c>
      <c r="M83" s="259">
        <v>-3376.6608617936317</v>
      </c>
      <c r="N83" s="259">
        <v>-3676.2776748955653</v>
      </c>
      <c r="O83" s="260">
        <v>-15375.256741137317</v>
      </c>
    </row>
    <row r="84" spans="1:15" ht="12.75">
      <c r="A84" s="169"/>
      <c r="B84" s="127" t="s">
        <v>214</v>
      </c>
      <c r="C84" s="258">
        <v>62199.93</v>
      </c>
      <c r="D84" s="259">
        <v>59306.909999999996</v>
      </c>
      <c r="E84" s="259">
        <v>60753.42</v>
      </c>
      <c r="F84" s="259">
        <v>60753.42</v>
      </c>
      <c r="G84" s="259">
        <v>67985.97</v>
      </c>
      <c r="H84" s="259">
        <v>85344.09</v>
      </c>
      <c r="I84" s="259">
        <v>95173.2</v>
      </c>
      <c r="J84" s="259">
        <v>93586.98</v>
      </c>
      <c r="K84" s="259">
        <v>79311</v>
      </c>
      <c r="L84" s="259">
        <v>76138.56</v>
      </c>
      <c r="M84" s="259">
        <v>55517.700000000004</v>
      </c>
      <c r="N84" s="259">
        <v>58690.14</v>
      </c>
      <c r="O84" s="260">
        <v>854761.32</v>
      </c>
    </row>
    <row r="85" spans="1:15" ht="12.75">
      <c r="A85" s="170" t="s">
        <v>260</v>
      </c>
      <c r="B85" s="124"/>
      <c r="C85" s="207">
        <v>11098178.684999999</v>
      </c>
      <c r="D85" s="208">
        <v>10127283.794999998</v>
      </c>
      <c r="E85" s="208">
        <v>10588123.305</v>
      </c>
      <c r="F85" s="208">
        <v>9620211.195000002</v>
      </c>
      <c r="G85" s="208">
        <v>11876684.265</v>
      </c>
      <c r="H85" s="208">
        <v>14707342.485</v>
      </c>
      <c r="I85" s="208">
        <v>14699885.535</v>
      </c>
      <c r="J85" s="208">
        <v>14852007.315</v>
      </c>
      <c r="K85" s="208">
        <v>13761801.225</v>
      </c>
      <c r="L85" s="208">
        <v>11736493.604999999</v>
      </c>
      <c r="M85" s="208">
        <v>10516536.585</v>
      </c>
      <c r="N85" s="208">
        <v>11617182.404999997</v>
      </c>
      <c r="O85" s="209">
        <v>145201730.40000004</v>
      </c>
    </row>
    <row r="86" spans="1:15" ht="12.75">
      <c r="A86" s="170" t="s">
        <v>155</v>
      </c>
      <c r="B86" s="124"/>
      <c r="C86" s="361">
        <v>333974.52000000066</v>
      </c>
      <c r="D86" s="362">
        <v>304757.64000000095</v>
      </c>
      <c r="E86" s="362">
        <v>318625.5600000012</v>
      </c>
      <c r="F86" s="362">
        <v>289498.44000000076</v>
      </c>
      <c r="G86" s="362">
        <v>357401.8800000016</v>
      </c>
      <c r="H86" s="362">
        <v>442584.12000000244</v>
      </c>
      <c r="I86" s="362">
        <v>-934691.8949999993</v>
      </c>
      <c r="J86" s="362">
        <v>-944364.5549999989</v>
      </c>
      <c r="K86" s="362">
        <v>-875043.824999999</v>
      </c>
      <c r="L86" s="362">
        <v>-746264.6849999999</v>
      </c>
      <c r="M86" s="362">
        <v>-668693.7449999996</v>
      </c>
      <c r="N86" s="362">
        <v>-738678.2850000003</v>
      </c>
      <c r="O86" s="363">
        <v>-2860894.8299999903</v>
      </c>
    </row>
    <row r="87" spans="1:15" ht="12.75">
      <c r="A87" s="170" t="s">
        <v>156</v>
      </c>
      <c r="B87" s="124"/>
      <c r="C87" s="361">
        <v>15020.892177592794</v>
      </c>
      <c r="D87" s="362">
        <v>12915.666972528377</v>
      </c>
      <c r="E87" s="362">
        <v>12650.722437560426</v>
      </c>
      <c r="F87" s="362">
        <v>10642.248951037505</v>
      </c>
      <c r="G87" s="362">
        <v>12119.464452580465</v>
      </c>
      <c r="H87" s="362">
        <v>13712.383391720148</v>
      </c>
      <c r="I87" s="362">
        <v>-26486.436194641552</v>
      </c>
      <c r="J87" s="362">
        <v>-24089.947059150218</v>
      </c>
      <c r="K87" s="362">
        <v>-20097.581292119656</v>
      </c>
      <c r="L87" s="362">
        <v>-14911.570782813773</v>
      </c>
      <c r="M87" s="362">
        <v>-11606.94262679354</v>
      </c>
      <c r="N87" s="362">
        <v>-35277.524421595</v>
      </c>
      <c r="O87" s="363">
        <v>-55408.623994094014</v>
      </c>
    </row>
    <row r="88" spans="1:15" ht="12.75">
      <c r="A88" s="170" t="s">
        <v>157</v>
      </c>
      <c r="B88" s="124"/>
      <c r="C88" s="361">
        <v>348995.41217759333</v>
      </c>
      <c r="D88" s="362">
        <v>317673.30697252933</v>
      </c>
      <c r="E88" s="362">
        <v>331276.2824375616</v>
      </c>
      <c r="F88" s="362">
        <v>300140.6889510382</v>
      </c>
      <c r="G88" s="362">
        <v>369521.34445258207</v>
      </c>
      <c r="H88" s="362">
        <v>456296.5033917226</v>
      </c>
      <c r="I88" s="362">
        <v>-961178.3311946408</v>
      </c>
      <c r="J88" s="362">
        <v>-968454.5020591492</v>
      </c>
      <c r="K88" s="362">
        <v>-895141.4062921188</v>
      </c>
      <c r="L88" s="362">
        <v>-761176.2557828139</v>
      </c>
      <c r="M88" s="362">
        <v>-680300.6876267932</v>
      </c>
      <c r="N88" s="362">
        <v>-773955.8094215951</v>
      </c>
      <c r="O88" s="363">
        <v>-2916303.4539940837</v>
      </c>
    </row>
    <row r="89" spans="1:15" ht="12.75">
      <c r="A89" s="152" t="s">
        <v>232</v>
      </c>
      <c r="B89" s="171"/>
      <c r="C89" s="278">
        <v>10764204.165000001</v>
      </c>
      <c r="D89" s="279">
        <v>9822526.155</v>
      </c>
      <c r="E89" s="279">
        <v>10269497.745</v>
      </c>
      <c r="F89" s="279">
        <v>9330712.755</v>
      </c>
      <c r="G89" s="279">
        <v>11519282.385</v>
      </c>
      <c r="H89" s="279">
        <v>14264758.365</v>
      </c>
      <c r="I89" s="279">
        <v>15634577.430000002</v>
      </c>
      <c r="J89" s="279">
        <v>15796371.870000003</v>
      </c>
      <c r="K89" s="279">
        <v>14636845.050000003</v>
      </c>
      <c r="L89" s="279">
        <v>12482758.290000001</v>
      </c>
      <c r="M89" s="279">
        <v>11185230.329999998</v>
      </c>
      <c r="N89" s="279">
        <v>12355860.690000001</v>
      </c>
      <c r="O89" s="280">
        <v>148062625.23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zoomScalePageLayoutView="0" workbookViewId="0" topLeftCell="B1">
      <selection activeCell="J3" sqref="J3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213</v>
      </c>
      <c r="C1" s="1"/>
      <c r="D1" s="4"/>
      <c r="E1" s="1"/>
      <c r="F1" s="296" t="s">
        <v>121</v>
      </c>
      <c r="G1" s="297"/>
      <c r="H1" s="298"/>
      <c r="I1" s="135"/>
      <c r="J1" s="136" t="str">
        <f>"True-Up ARR
(CY"&amp;N1&amp;")"</f>
        <v>True-Up ARR
(CY2013)</v>
      </c>
      <c r="K1" s="136" t="str">
        <f>"Projected ARR
(Jul'"&amp;RIGHT(N$1-1,2)&amp;" - Jun'"&amp;RIGHT(N$1,2)&amp;")"</f>
        <v>Projected ARR
(Jul'12 - Jun'13)</v>
      </c>
      <c r="L1" s="283" t="s">
        <v>209</v>
      </c>
      <c r="M1" s="292"/>
      <c r="N1" s="310">
        <v>2013</v>
      </c>
      <c r="O1" s="309" t="s">
        <v>250</v>
      </c>
    </row>
    <row r="2" spans="2:14" ht="12.75">
      <c r="B2" s="5" t="s">
        <v>219</v>
      </c>
      <c r="C2" s="1"/>
      <c r="D2" s="4"/>
      <c r="E2" s="1"/>
      <c r="F2" s="131">
        <v>9</v>
      </c>
      <c r="G2" s="368" t="s">
        <v>254</v>
      </c>
      <c r="H2" s="368"/>
      <c r="I2" s="256" t="s">
        <v>111</v>
      </c>
      <c r="J2" s="83">
        <v>145213453.70262408</v>
      </c>
      <c r="K2" s="83">
        <v>144466358</v>
      </c>
      <c r="L2" s="338" t="s">
        <v>328</v>
      </c>
      <c r="M2" s="287"/>
      <c r="N2"/>
    </row>
    <row r="3" spans="2:14" ht="12.75">
      <c r="B3" s="5" t="str">
        <f>"for CY"&amp;N1&amp;" SPP Network Transmission Service"</f>
        <v>for CY2013 SPP Network Transmission Service</v>
      </c>
      <c r="C3" s="1"/>
      <c r="D3" s="4"/>
      <c r="E3" s="1"/>
      <c r="F3" s="131"/>
      <c r="G3" s="368" t="str">
        <f>"of CY"&amp;$N$1</f>
        <v>of CY2013</v>
      </c>
      <c r="H3" s="368"/>
      <c r="I3" s="256" t="s">
        <v>119</v>
      </c>
      <c r="J3" s="85">
        <v>1491.39</v>
      </c>
      <c r="K3" s="85">
        <v>1446.51</v>
      </c>
      <c r="L3" s="284" t="str">
        <f>"Inv. Jan-Jun'"&amp;RIGHT(N1,2)</f>
        <v>Inv. Jan-Jun'13</v>
      </c>
      <c r="M3" s="287"/>
      <c r="N3"/>
    </row>
    <row r="4" spans="2:14" ht="12.75">
      <c r="B4" s="117"/>
      <c r="C4" s="1"/>
      <c r="D4" s="4"/>
      <c r="E4" s="1"/>
      <c r="F4" s="131"/>
      <c r="G4" s="16"/>
      <c r="H4" s="16"/>
      <c r="I4" s="290"/>
      <c r="J4" s="16"/>
      <c r="K4" s="82"/>
      <c r="L4" s="16"/>
      <c r="M4" s="132"/>
      <c r="N4"/>
    </row>
    <row r="5" spans="2:14" ht="12.75">
      <c r="B5" s="117"/>
      <c r="C5" s="1"/>
      <c r="D5" s="4"/>
      <c r="E5" s="1"/>
      <c r="F5" s="131"/>
      <c r="G5" s="16"/>
      <c r="H5" s="16"/>
      <c r="I5" s="256"/>
      <c r="J5" s="16"/>
      <c r="K5" s="82"/>
      <c r="L5" s="16"/>
      <c r="M5" s="288"/>
      <c r="N5" s="26"/>
    </row>
    <row r="6" spans="2:31" ht="34.5" thickBot="1">
      <c r="B6" s="5" t="s">
        <v>148</v>
      </c>
      <c r="D6" s="4"/>
      <c r="E6" s="1"/>
      <c r="F6" s="299"/>
      <c r="G6" s="294"/>
      <c r="H6" s="295"/>
      <c r="I6" s="257"/>
      <c r="J6" s="137" t="str">
        <f>J1</f>
        <v>True-Up ARR
(CY2013)</v>
      </c>
      <c r="K6" s="137" t="str">
        <f>"Projected ARR
(Jul'"&amp;RIGHT(N$1,2)&amp;" - Jun'"&amp;RIGHT(N$1+1,2)&amp;")"</f>
        <v>Projected ARR
(Jul'13 - Jun'14)</v>
      </c>
      <c r="L6" s="285"/>
      <c r="M6" s="293"/>
      <c r="N6"/>
      <c r="O6" s="36" t="s">
        <v>2</v>
      </c>
      <c r="P6" s="103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0"/>
    </row>
    <row r="7" spans="2:31" ht="12.75">
      <c r="B7" s="117" t="s">
        <v>271</v>
      </c>
      <c r="D7" s="4"/>
      <c r="E7" s="1"/>
      <c r="F7" s="131"/>
      <c r="G7" s="369" t="s">
        <v>255</v>
      </c>
      <c r="H7" s="368"/>
      <c r="I7" s="256" t="s">
        <v>111</v>
      </c>
      <c r="J7" s="166">
        <f>+J2</f>
        <v>145213453.70262408</v>
      </c>
      <c r="K7" s="83">
        <v>155652292.49945968</v>
      </c>
      <c r="L7" s="338" t="s">
        <v>329</v>
      </c>
      <c r="M7" s="289"/>
      <c r="N7"/>
      <c r="O7" s="149" t="s">
        <v>1</v>
      </c>
      <c r="P7" s="104"/>
      <c r="V7" s="26"/>
      <c r="W7" s="148" t="s">
        <v>208</v>
      </c>
      <c r="AE7" s="26"/>
    </row>
    <row r="8" spans="2:31" ht="12.75">
      <c r="B8" s="5"/>
      <c r="C8" s="1"/>
      <c r="D8" s="4"/>
      <c r="E8" s="1"/>
      <c r="F8" s="131"/>
      <c r="G8" s="368" t="str">
        <f>"of CY"&amp;$N$1</f>
        <v>of CY2013</v>
      </c>
      <c r="H8" s="368"/>
      <c r="I8" s="256" t="s">
        <v>119</v>
      </c>
      <c r="J8" s="77">
        <f>+J3</f>
        <v>1491.39</v>
      </c>
      <c r="K8" s="85">
        <v>1586.22</v>
      </c>
      <c r="L8" s="286" t="str">
        <f>"Inv. Jul-Dec'"&amp;RIGHT(N1,2)</f>
        <v>Inv. Jul-Dec'13</v>
      </c>
      <c r="M8" s="287"/>
      <c r="N8" s="26"/>
      <c r="O8" s="10">
        <f>DATE(N1,1,1)</f>
        <v>41275</v>
      </c>
      <c r="P8" s="10">
        <f aca="true" t="shared" si="0" ref="P8:U8">DATE(YEAR(O8),MONTH(O8)+3,DAY(O8))</f>
        <v>41365</v>
      </c>
      <c r="Q8" s="10">
        <f t="shared" si="0"/>
        <v>41456</v>
      </c>
      <c r="R8" s="10">
        <f t="shared" si="0"/>
        <v>41548</v>
      </c>
      <c r="S8" s="10">
        <f t="shared" si="0"/>
        <v>41640</v>
      </c>
      <c r="T8" s="10">
        <f t="shared" si="0"/>
        <v>41730</v>
      </c>
      <c r="U8" s="10">
        <f t="shared" si="0"/>
        <v>41821</v>
      </c>
      <c r="V8" s="252">
        <f>DATE(YEAR(U8),MONTH(U8)+3,DAY(U8))</f>
        <v>41913</v>
      </c>
      <c r="W8" s="165" t="str">
        <f>"7/1/"&amp;N1+1</f>
        <v>7/1/2014</v>
      </c>
      <c r="X8" s="25"/>
      <c r="AE8" s="26"/>
    </row>
    <row r="9" spans="2:31" ht="12.75">
      <c r="B9" s="53"/>
      <c r="C9" s="1"/>
      <c r="D9" s="4"/>
      <c r="E9" s="1"/>
      <c r="F9" s="131"/>
      <c r="G9" s="16"/>
      <c r="H9" s="16"/>
      <c r="I9" s="312"/>
      <c r="J9" s="313"/>
      <c r="K9" s="314"/>
      <c r="L9" s="315"/>
      <c r="M9" s="287"/>
      <c r="N9" s="26"/>
      <c r="O9" s="6"/>
      <c r="P9" s="6"/>
      <c r="Q9" s="6"/>
      <c r="R9"/>
      <c r="S9" s="10"/>
      <c r="T9" s="10"/>
      <c r="U9" s="10"/>
      <c r="V9" s="26"/>
      <c r="W9" s="140"/>
      <c r="AE9" s="26"/>
    </row>
    <row r="10" spans="2:31" ht="13.5" thickBot="1">
      <c r="B10" s="117"/>
      <c r="D10"/>
      <c r="E10" s="54"/>
      <c r="F10" s="133"/>
      <c r="G10" s="134"/>
      <c r="H10" s="59"/>
      <c r="I10" s="316"/>
      <c r="J10" s="167"/>
      <c r="K10" s="167"/>
      <c r="L10" s="317"/>
      <c r="M10" s="291"/>
      <c r="N10" s="224"/>
      <c r="O10" s="9">
        <f aca="true" t="shared" si="1" ref="O10:V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106">
        <f t="shared" si="1"/>
        <v>0.0325</v>
      </c>
      <c r="W10" s="141" t="s">
        <v>3</v>
      </c>
      <c r="X10" s="69"/>
      <c r="Y10" s="72"/>
      <c r="Z10" s="72"/>
      <c r="AE10" s="26"/>
    </row>
    <row r="11" spans="5:31" ht="12.75"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7">
        <f t="shared" si="2"/>
        <v>8.904109589041096E-05</v>
      </c>
      <c r="W11" s="142" t="s">
        <v>4</v>
      </c>
      <c r="X11" s="34"/>
      <c r="Y11" s="113"/>
      <c r="Z11" s="113"/>
      <c r="AE11" s="26"/>
    </row>
    <row r="12" spans="5:31" ht="12.75">
      <c r="E12" s="54"/>
      <c r="L12" s="8"/>
      <c r="N12" s="223" t="s">
        <v>230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8">
        <f>IF($W8-V8&lt;0,0,W8-V8)</f>
        <v>0</v>
      </c>
      <c r="W12" s="143" t="s">
        <v>5</v>
      </c>
      <c r="X12" s="35"/>
      <c r="Y12" s="13"/>
      <c r="Z12" s="13"/>
      <c r="AE12" s="26"/>
    </row>
    <row r="13" spans="5:31" ht="12.75">
      <c r="E13" s="54"/>
      <c r="F13" s="272"/>
      <c r="G13" s="273"/>
      <c r="H13" s="273"/>
      <c r="I13" s="269" t="s">
        <v>228</v>
      </c>
      <c r="J13" s="138">
        <f>SUM(J44:J211)</f>
        <v>34121511.81000002</v>
      </c>
      <c r="K13" s="138">
        <f>SUM(K44:K211)</f>
        <v>34784215.320000015</v>
      </c>
      <c r="L13" s="156">
        <f>SUM(L44:L211)</f>
        <v>-662703.5099999979</v>
      </c>
      <c r="M13" s="139">
        <f>SUM(M44:M211)</f>
        <v>-12912.440528832112</v>
      </c>
      <c r="N13" s="156">
        <f>SUM(N44:N211)</f>
        <v>-675615.9505288302</v>
      </c>
      <c r="O13" s="17"/>
      <c r="P13" s="17"/>
      <c r="Q13" s="17"/>
      <c r="R13" s="17"/>
      <c r="S13" s="17"/>
      <c r="T13" s="17"/>
      <c r="U13" s="17"/>
      <c r="V13" s="108"/>
      <c r="W13" s="155"/>
      <c r="X13" s="13"/>
      <c r="Y13" s="13"/>
      <c r="Z13" s="13"/>
      <c r="AE13" s="26"/>
    </row>
    <row r="14" spans="5:31" ht="12.75">
      <c r="E14" s="54"/>
      <c r="F14" s="84"/>
      <c r="G14" s="84"/>
      <c r="H14" s="84"/>
      <c r="I14" s="271" t="s">
        <v>229</v>
      </c>
      <c r="J14" s="138">
        <f>SUM(J20:J211)</f>
        <v>145201730.39999992</v>
      </c>
      <c r="K14" s="138">
        <f>SUM(K20:K211)</f>
        <v>148062625.22999996</v>
      </c>
      <c r="L14" s="156">
        <f>SUM(L20:L211)</f>
        <v>-2860894.829999993</v>
      </c>
      <c r="M14" s="139">
        <f>SUM(M20:M211)</f>
        <v>-55408.623994094036</v>
      </c>
      <c r="N14" s="156">
        <f>SUM(N20:N211)</f>
        <v>-2916303.453994083</v>
      </c>
      <c r="O14" s="17"/>
      <c r="P14" s="17"/>
      <c r="Q14" s="17"/>
      <c r="R14" s="17"/>
      <c r="S14" s="17"/>
      <c r="T14" s="17"/>
      <c r="U14" s="17"/>
      <c r="V14" s="108"/>
      <c r="W14" s="155"/>
      <c r="X14" s="13"/>
      <c r="Y14" s="13"/>
      <c r="Z14" s="13"/>
      <c r="AE14" s="26"/>
    </row>
    <row r="15" spans="2:31" ht="12.75">
      <c r="B15" s="118" t="s">
        <v>122</v>
      </c>
      <c r="E15" s="54"/>
      <c r="J15" s="7"/>
      <c r="L15" s="8"/>
      <c r="M15" s="27"/>
      <c r="N15" s="157" t="s">
        <v>145</v>
      </c>
      <c r="O15" s="17"/>
      <c r="P15" s="17"/>
      <c r="Q15" s="17"/>
      <c r="R15" s="17"/>
      <c r="S15" s="17"/>
      <c r="T15" s="17"/>
      <c r="U15" s="17"/>
      <c r="V15" s="108"/>
      <c r="W15" s="11"/>
      <c r="AE15" s="26"/>
    </row>
    <row r="16" spans="2:31" ht="12.75">
      <c r="B16" s="168" t="str">
        <f>"** Actual Trued-Up CY"&amp;N1&amp;" Charge reflects "&amp;N1&amp;" True-UP Rate x MW"</f>
        <v>** Actual Trued-Up CY2013 Charge reflects 2013 True-UP Rate x MW</v>
      </c>
      <c r="E16" s="54"/>
      <c r="F16" s="16"/>
      <c r="G16" s="2"/>
      <c r="J16" s="74"/>
      <c r="L16" s="86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8"/>
      <c r="W16" s="11"/>
      <c r="AB16" s="70"/>
      <c r="AC16" s="70"/>
      <c r="AD16" s="70"/>
      <c r="AE16" s="35"/>
    </row>
    <row r="17" spans="2:31" ht="12.75">
      <c r="B17" s="81" t="s">
        <v>241</v>
      </c>
      <c r="E17" s="54"/>
      <c r="I17" s="32"/>
      <c r="J17" s="61"/>
      <c r="K17" s="31"/>
      <c r="L17" s="31"/>
      <c r="M17" s="31"/>
      <c r="N17" s="105"/>
      <c r="O17" s="20"/>
      <c r="P17" s="20"/>
      <c r="Q17" s="20"/>
      <c r="R17" s="20"/>
      <c r="S17" s="20"/>
      <c r="T17" s="20"/>
      <c r="U17" s="20"/>
      <c r="V17" s="21"/>
      <c r="W17" s="144" t="s">
        <v>113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9"/>
      <c r="W18" s="145"/>
      <c r="X18" s="14"/>
      <c r="Y18" s="14"/>
      <c r="Z18" s="14"/>
      <c r="AA18" s="14"/>
      <c r="AB18" s="14"/>
      <c r="AC18" s="14"/>
      <c r="AD18" s="14"/>
      <c r="AE18" s="366" t="s">
        <v>114</v>
      </c>
    </row>
    <row r="19" spans="2:31" ht="38.25" customHeight="1">
      <c r="B19" s="96" t="s">
        <v>220</v>
      </c>
      <c r="C19" s="97" t="s">
        <v>107</v>
      </c>
      <c r="D19" s="97" t="s">
        <v>108</v>
      </c>
      <c r="E19" s="98" t="s">
        <v>0</v>
      </c>
      <c r="F19" s="102" t="s">
        <v>121</v>
      </c>
      <c r="G19" s="99" t="s">
        <v>6</v>
      </c>
      <c r="H19" s="255" t="s">
        <v>212</v>
      </c>
      <c r="I19" s="255" t="s">
        <v>210</v>
      </c>
      <c r="J19" s="275" t="str">
        <f>"True-Up Charge"</f>
        <v>True-Up Charge</v>
      </c>
      <c r="K19" s="275" t="s">
        <v>211</v>
      </c>
      <c r="L19" s="100" t="s">
        <v>103</v>
      </c>
      <c r="M19" s="101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1Q2013</v>
      </c>
      <c r="P19" s="51" t="str">
        <f t="shared" si="4"/>
        <v>2Q2013</v>
      </c>
      <c r="Q19" s="51" t="str">
        <f t="shared" si="4"/>
        <v>3Q2013</v>
      </c>
      <c r="R19" s="51" t="str">
        <f t="shared" si="4"/>
        <v>4Q2013</v>
      </c>
      <c r="S19" s="51" t="str">
        <f t="shared" si="4"/>
        <v>1Q2014</v>
      </c>
      <c r="T19" s="51" t="str">
        <f t="shared" si="4"/>
        <v>2Q2014</v>
      </c>
      <c r="U19" s="51" t="str">
        <f>IF(MONTH(U8)&lt;4,"1Q",IF(MONTH(U8)&lt;7,"2Q",IF(MONTH(U8)&lt;10,"3Q","4Q")))&amp;YEAR(U8)</f>
        <v>3Q2014</v>
      </c>
      <c r="V19" s="110" t="str">
        <f t="shared" si="4"/>
        <v>4Q2014</v>
      </c>
      <c r="W19" s="33" t="str">
        <f aca="true" t="shared" si="5" ref="W19:AD19">+O19</f>
        <v>1Q2013</v>
      </c>
      <c r="X19" s="12" t="str">
        <f t="shared" si="5"/>
        <v>2Q2013</v>
      </c>
      <c r="Y19" s="12" t="str">
        <f t="shared" si="5"/>
        <v>3Q2013</v>
      </c>
      <c r="Z19" s="12" t="str">
        <f t="shared" si="5"/>
        <v>4Q2013</v>
      </c>
      <c r="AA19" s="12" t="str">
        <f t="shared" si="5"/>
        <v>1Q2014</v>
      </c>
      <c r="AB19" s="12" t="str">
        <f t="shared" si="5"/>
        <v>2Q2014</v>
      </c>
      <c r="AC19" s="12" t="str">
        <f t="shared" si="5"/>
        <v>3Q2014</v>
      </c>
      <c r="AD19" s="12" t="str">
        <f t="shared" si="5"/>
        <v>4Q2014</v>
      </c>
      <c r="AE19" s="367"/>
    </row>
    <row r="20" spans="1:31" s="13" customFormat="1" ht="12.75" customHeight="1">
      <c r="A20" s="16">
        <v>1</v>
      </c>
      <c r="B20" s="15">
        <f>DATE($N$1,A20,1)</f>
        <v>41275</v>
      </c>
      <c r="C20" s="68">
        <v>41310</v>
      </c>
      <c r="D20" s="68">
        <f aca="true" t="shared" si="6" ref="D20:D31">IF(WEEKDAY(C20+15)=1,C20+16,IF(WEEKDAY(C20+15)=7,C20+17,(C20+15)))</f>
        <v>41325</v>
      </c>
      <c r="E20" s="123" t="s">
        <v>146</v>
      </c>
      <c r="F20" s="16">
        <v>9</v>
      </c>
      <c r="G20" s="73">
        <v>2531</v>
      </c>
      <c r="H20" s="253">
        <f aca="true" t="shared" si="7" ref="H20:H25">$K$3</f>
        <v>1446.51</v>
      </c>
      <c r="I20" s="253">
        <f aca="true" t="shared" si="8" ref="I20:I51">$J$3</f>
        <v>1491.39</v>
      </c>
      <c r="J20" s="56">
        <f aca="true" t="shared" si="9" ref="J20:J84">+$G20*I20</f>
        <v>3774708.0900000003</v>
      </c>
      <c r="K20" s="57">
        <f aca="true" t="shared" si="10" ref="K20:K33">+$G20*H20</f>
        <v>3661116.81</v>
      </c>
      <c r="L20" s="58">
        <f aca="true" t="shared" si="11" ref="L20:L34">+J20-K20</f>
        <v>113591.28000000026</v>
      </c>
      <c r="M20" s="55">
        <f aca="true" t="shared" si="12" ref="M20:M25">+AE20</f>
        <v>5108.899832222989</v>
      </c>
      <c r="N20" s="29">
        <f>SUM(L20:M20)</f>
        <v>118700.17983222325</v>
      </c>
      <c r="O20" s="16">
        <f aca="true" t="shared" si="13" ref="O20:R31">IF($D20&lt;O$8,O$12,IF($D20&lt;P$8,P$8-$D20,0))</f>
        <v>40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aca="true" t="shared" si="14" ref="S20:U25">IF($D20&lt;S$8,S$12,IF($D20&lt;T$8,T$8-$D20,0))</f>
        <v>90</v>
      </c>
      <c r="T20" s="16">
        <f t="shared" si="14"/>
        <v>91</v>
      </c>
      <c r="U20" s="16">
        <f t="shared" si="14"/>
        <v>0</v>
      </c>
      <c r="V20" s="111">
        <f>IF(W$8&lt;V$8,0,IF($D20&lt;V$8,V$12,IF($D20&lt;W$8,W$8-$D20,0)))</f>
        <v>0</v>
      </c>
      <c r="W20" s="146">
        <f>$L20*O$11*O20</f>
        <v>404.57168219178175</v>
      </c>
      <c r="X20" s="63">
        <f>($L20+SUM($W20:W20))*(P$11*P20)</f>
        <v>923.6787160276247</v>
      </c>
      <c r="Y20" s="63">
        <f>($L20+SUM($W20:X20))*(Q$11*Q20)</f>
        <v>941.3956051799363</v>
      </c>
      <c r="Z20" s="63">
        <f>($L20+SUM($W20:Y20))*(R$11*R20)</f>
        <v>949.107311644287</v>
      </c>
      <c r="AA20" s="63">
        <f>($L20+SUM($W20:Z20))*(S$11*S20)</f>
        <v>936.080403963023</v>
      </c>
      <c r="AB20" s="63">
        <f>($L20+SUM($W20:AA20))*(T$11*T20)</f>
        <v>954.0661132163368</v>
      </c>
      <c r="AC20" s="63">
        <f>($L20+SUM($W20:AB20))*(U$11*U20)</f>
        <v>0</v>
      </c>
      <c r="AD20" s="63">
        <f>($L20+SUM($W20:AC20))*(V$11*V20)</f>
        <v>0</v>
      </c>
      <c r="AE20" s="114">
        <f aca="true" t="shared" si="15" ref="AE20:AE25">SUM(W20:AD20)</f>
        <v>5108.899832222989</v>
      </c>
    </row>
    <row r="21" spans="1:33" ht="12.75">
      <c r="A21" s="3">
        <v>2</v>
      </c>
      <c r="B21" s="15">
        <f aca="true" t="shared" si="16" ref="B21:B84">DATE($N$1,A21,1)</f>
        <v>41306</v>
      </c>
      <c r="C21" s="68">
        <v>41338</v>
      </c>
      <c r="D21" s="68">
        <f t="shared" si="6"/>
        <v>41353</v>
      </c>
      <c r="E21" s="71" t="s">
        <v>146</v>
      </c>
      <c r="F21" s="3">
        <v>9</v>
      </c>
      <c r="G21" s="73">
        <v>2490</v>
      </c>
      <c r="H21" s="253">
        <f t="shared" si="7"/>
        <v>1446.51</v>
      </c>
      <c r="I21" s="253">
        <f t="shared" si="8"/>
        <v>1491.39</v>
      </c>
      <c r="J21" s="56">
        <f t="shared" si="9"/>
        <v>3713561.1</v>
      </c>
      <c r="K21" s="57">
        <f t="shared" si="10"/>
        <v>3601809.9</v>
      </c>
      <c r="L21" s="58">
        <f t="shared" si="11"/>
        <v>111751.20000000019</v>
      </c>
      <c r="M21" s="55">
        <f t="shared" si="12"/>
        <v>4736.029859597321</v>
      </c>
      <c r="N21" s="29">
        <f>SUM(L21:M21)</f>
        <v>116487.2298595975</v>
      </c>
      <c r="O21" s="16">
        <f t="shared" si="13"/>
        <v>12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4"/>
        <v>90</v>
      </c>
      <c r="T21" s="16">
        <f t="shared" si="14"/>
        <v>91</v>
      </c>
      <c r="U21" s="16">
        <f t="shared" si="14"/>
        <v>0</v>
      </c>
      <c r="V21" s="111">
        <f aca="true" t="shared" si="17" ref="V21:V79">IF(W$8&lt;V$8,0,IF($D21&lt;V$8,V$12,IF($D21&lt;W$8,W$8-$D21,0)))</f>
        <v>0</v>
      </c>
      <c r="W21" s="146">
        <f aca="true" t="shared" si="18" ref="W21:W31">$L21*O$11*O21</f>
        <v>119.4053917808221</v>
      </c>
      <c r="X21" s="63">
        <f>($L21+SUM($W21:W21))*(P$11*P21)</f>
        <v>906.4583984827187</v>
      </c>
      <c r="Y21" s="63">
        <f>($L21+SUM($W21:X21))*(Q$11*Q21)</f>
        <v>923.8449883092835</v>
      </c>
      <c r="Z21" s="63">
        <f>($L21+SUM($W21:Y21))*(R$11*R21)</f>
        <v>931.4129239669404</v>
      </c>
      <c r="AA21" s="63">
        <f>($L21+SUM($W21:Z21))*(S$11*S21)</f>
        <v>918.6288793970666</v>
      </c>
      <c r="AB21" s="63">
        <f>($L21+SUM($W21:AA21))*(T$11*T21)</f>
        <v>936.2792776604897</v>
      </c>
      <c r="AC21" s="63">
        <f>($L21+SUM($W21:AB21))*(U$11*U21)</f>
        <v>0</v>
      </c>
      <c r="AD21" s="63">
        <f>($L21+SUM($W21:AC21))*(V$11*V21)</f>
        <v>0</v>
      </c>
      <c r="AE21" s="115">
        <f t="shared" si="15"/>
        <v>4736.029859597321</v>
      </c>
      <c r="AG21" s="311"/>
    </row>
    <row r="22" spans="1:31" ht="12.75">
      <c r="A22" s="3">
        <v>3</v>
      </c>
      <c r="B22" s="15">
        <f t="shared" si="16"/>
        <v>41334</v>
      </c>
      <c r="C22" s="68">
        <v>41367</v>
      </c>
      <c r="D22" s="68">
        <f t="shared" si="6"/>
        <v>41382</v>
      </c>
      <c r="E22" s="71" t="s">
        <v>146</v>
      </c>
      <c r="F22" s="3">
        <v>9</v>
      </c>
      <c r="G22" s="73">
        <v>2551</v>
      </c>
      <c r="H22" s="253">
        <f t="shared" si="7"/>
        <v>1446.51</v>
      </c>
      <c r="I22" s="253">
        <f t="shared" si="8"/>
        <v>1491.39</v>
      </c>
      <c r="J22" s="56">
        <f t="shared" si="9"/>
        <v>3804535.89</v>
      </c>
      <c r="K22" s="57">
        <f t="shared" si="10"/>
        <v>3690047.01</v>
      </c>
      <c r="L22" s="58">
        <f t="shared" si="11"/>
        <v>114488.88000000035</v>
      </c>
      <c r="M22" s="55">
        <f t="shared" si="12"/>
        <v>4545.671235751339</v>
      </c>
      <c r="N22" s="29">
        <f>SUM(L22:M22)</f>
        <v>119034.55123575169</v>
      </c>
      <c r="O22" s="16">
        <f>IF($D22&lt;O$8,O$12,IF($D22&lt;P$8,P$8-$D22,0))</f>
        <v>0</v>
      </c>
      <c r="P22" s="16">
        <f>IF($D22&lt;P$8,P$12,IF($D22&lt;Q$8,Q$8-$D22,0))</f>
        <v>74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4"/>
        <v>90</v>
      </c>
      <c r="T22" s="16">
        <f t="shared" si="14"/>
        <v>91</v>
      </c>
      <c r="U22" s="16">
        <f t="shared" si="14"/>
        <v>0</v>
      </c>
      <c r="V22" s="111">
        <f>IF(W$8&lt;V$8,0,IF($D22&lt;V$8,V$12,IF($D22&lt;W$8,W$8-$D22,0)))</f>
        <v>0</v>
      </c>
      <c r="W22" s="146">
        <f>$L22*O$11*O22</f>
        <v>0</v>
      </c>
      <c r="X22" s="63">
        <f>($L22+SUM($W22:W22))*(P$11*P22)</f>
        <v>754.3719353424681</v>
      </c>
      <c r="Y22" s="63">
        <f>($L22+SUM($W22:X22))*(Q$11*Q22)</f>
        <v>944.0474610593835</v>
      </c>
      <c r="Z22" s="63">
        <f>($L22+SUM($W22:Y22))*(R$11*R22)</f>
        <v>951.7808909458699</v>
      </c>
      <c r="AA22" s="63">
        <f>($L22+SUM($W22:Z22))*(S$11*S22)</f>
        <v>938.7172872342276</v>
      </c>
      <c r="AB22" s="63">
        <f>($L22+SUM($W22:AA22))*(T$11*T22)</f>
        <v>956.7536611693895</v>
      </c>
      <c r="AC22" s="63">
        <f>($L22+SUM($W22:AB22))*(U$11*U22)</f>
        <v>0</v>
      </c>
      <c r="AD22" s="63">
        <f>($L22+SUM($W22:AC22))*(V$11*V22)</f>
        <v>0</v>
      </c>
      <c r="AE22" s="115">
        <f t="shared" si="15"/>
        <v>4545.671235751339</v>
      </c>
    </row>
    <row r="23" spans="1:31" ht="12.75">
      <c r="A23" s="16">
        <v>4</v>
      </c>
      <c r="B23" s="15">
        <f t="shared" si="16"/>
        <v>41365</v>
      </c>
      <c r="C23" s="68">
        <v>41397</v>
      </c>
      <c r="D23" s="68">
        <f t="shared" si="6"/>
        <v>41414</v>
      </c>
      <c r="E23" s="71" t="s">
        <v>146</v>
      </c>
      <c r="F23" s="3">
        <v>9</v>
      </c>
      <c r="G23" s="73">
        <v>2520</v>
      </c>
      <c r="H23" s="253">
        <f t="shared" si="7"/>
        <v>1446.51</v>
      </c>
      <c r="I23" s="253">
        <f t="shared" si="8"/>
        <v>1491.39</v>
      </c>
      <c r="J23" s="56">
        <f t="shared" si="9"/>
        <v>3758302.8000000003</v>
      </c>
      <c r="K23" s="57">
        <f t="shared" si="10"/>
        <v>3645205.2</v>
      </c>
      <c r="L23" s="58">
        <f t="shared" si="11"/>
        <v>113097.6000000001</v>
      </c>
      <c r="M23" s="55">
        <f t="shared" si="12"/>
        <v>4157.579622760169</v>
      </c>
      <c r="N23" s="29">
        <f aca="true" t="shared" si="19" ref="N23:N33">SUM(L23:M23)</f>
        <v>117255.17962276026</v>
      </c>
      <c r="O23" s="16">
        <f t="shared" si="13"/>
        <v>0</v>
      </c>
      <c r="P23" s="16">
        <f t="shared" si="13"/>
        <v>42</v>
      </c>
      <c r="Q23" s="16">
        <f t="shared" si="13"/>
        <v>92</v>
      </c>
      <c r="R23" s="16">
        <f t="shared" si="13"/>
        <v>92</v>
      </c>
      <c r="S23" s="16">
        <f t="shared" si="14"/>
        <v>90</v>
      </c>
      <c r="T23" s="16">
        <f t="shared" si="14"/>
        <v>91</v>
      </c>
      <c r="U23" s="16">
        <f t="shared" si="14"/>
        <v>0</v>
      </c>
      <c r="V23" s="111">
        <f t="shared" si="17"/>
        <v>0</v>
      </c>
      <c r="W23" s="146">
        <f t="shared" si="18"/>
        <v>0</v>
      </c>
      <c r="X23" s="63">
        <f>($L23+SUM($W23:W23))*(P$11*P23)</f>
        <v>422.95403835616474</v>
      </c>
      <c r="Y23" s="63">
        <f>($L23+SUM($W23:X23))*(Q$11*Q23)</f>
        <v>929.9354974648909</v>
      </c>
      <c r="Z23" s="63">
        <f>($L23+SUM($W23:Y23))*(R$11*R23)</f>
        <v>937.5533252386444</v>
      </c>
      <c r="AA23" s="63">
        <f>($L23+SUM($W23:Z23))*(S$11*S23)</f>
        <v>924.6850010098626</v>
      </c>
      <c r="AB23" s="63">
        <f>($L23+SUM($W23:AA23))*(T$11*T23)</f>
        <v>942.4517606906055</v>
      </c>
      <c r="AC23" s="63">
        <f>($L23+SUM($W23:AB23))*(U$11*U23)</f>
        <v>0</v>
      </c>
      <c r="AD23" s="63">
        <f>($L23+SUM($W23:AC23))*(V$11*V23)</f>
        <v>0</v>
      </c>
      <c r="AE23" s="115">
        <f t="shared" si="15"/>
        <v>4157.579622760169</v>
      </c>
    </row>
    <row r="24" spans="1:31" ht="12" customHeight="1">
      <c r="A24" s="3">
        <v>5</v>
      </c>
      <c r="B24" s="15">
        <f t="shared" si="16"/>
        <v>41395</v>
      </c>
      <c r="C24" s="68">
        <v>41430</v>
      </c>
      <c r="D24" s="68">
        <f t="shared" si="6"/>
        <v>41445</v>
      </c>
      <c r="E24" s="30" t="s">
        <v>146</v>
      </c>
      <c r="F24" s="3">
        <v>9</v>
      </c>
      <c r="G24" s="73">
        <v>3059</v>
      </c>
      <c r="H24" s="253">
        <f t="shared" si="7"/>
        <v>1446.51</v>
      </c>
      <c r="I24" s="253">
        <f t="shared" si="8"/>
        <v>1491.39</v>
      </c>
      <c r="J24" s="56">
        <f t="shared" si="9"/>
        <v>4562162.010000001</v>
      </c>
      <c r="K24" s="57">
        <f t="shared" si="10"/>
        <v>4424874.09</v>
      </c>
      <c r="L24" s="58">
        <f t="shared" si="11"/>
        <v>137287.92000000086</v>
      </c>
      <c r="M24" s="55">
        <f t="shared" si="12"/>
        <v>4655.420576435451</v>
      </c>
      <c r="N24" s="29">
        <f t="shared" si="19"/>
        <v>141943.3405764363</v>
      </c>
      <c r="O24" s="16">
        <f t="shared" si="13"/>
        <v>0</v>
      </c>
      <c r="P24" s="16">
        <f t="shared" si="13"/>
        <v>11</v>
      </c>
      <c r="Q24" s="16">
        <f t="shared" si="13"/>
        <v>92</v>
      </c>
      <c r="R24" s="16">
        <f t="shared" si="13"/>
        <v>92</v>
      </c>
      <c r="S24" s="16">
        <f t="shared" si="14"/>
        <v>90</v>
      </c>
      <c r="T24" s="16">
        <f t="shared" si="14"/>
        <v>91</v>
      </c>
      <c r="U24" s="16">
        <f t="shared" si="14"/>
        <v>0</v>
      </c>
      <c r="V24" s="111">
        <f t="shared" si="17"/>
        <v>0</v>
      </c>
      <c r="W24" s="146">
        <f t="shared" si="18"/>
        <v>0</v>
      </c>
      <c r="X24" s="63">
        <f>($L24+SUM($W24:W24))*(P$11*P24)</f>
        <v>134.4669353424666</v>
      </c>
      <c r="Y24" s="63">
        <f>($L24+SUM($W24:X24))*(Q$11*Q24)</f>
        <v>1125.7340737991137</v>
      </c>
      <c r="Z24" s="63">
        <f>($L24+SUM($W24:Y24))*(R$11*R24)</f>
        <v>1134.9558405954406</v>
      </c>
      <c r="AA24" s="63">
        <f>($L24+SUM($W24:Z24))*(S$11*S24)</f>
        <v>1119.3780816040637</v>
      </c>
      <c r="AB24" s="63">
        <f>($L24+SUM($W24:AA24))*(T$11*T24)</f>
        <v>1140.8856450943665</v>
      </c>
      <c r="AC24" s="63">
        <f>($L24+SUM($W24:AB24))*(U$11*U24)</f>
        <v>0</v>
      </c>
      <c r="AD24" s="63">
        <f>($L24+SUM($W24:AC24))*(V$11*V24)</f>
        <v>0</v>
      </c>
      <c r="AE24" s="115">
        <f t="shared" si="15"/>
        <v>4655.420576435451</v>
      </c>
    </row>
    <row r="25" spans="1:31" ht="12.75">
      <c r="A25" s="3">
        <v>6</v>
      </c>
      <c r="B25" s="15">
        <f t="shared" si="16"/>
        <v>41426</v>
      </c>
      <c r="C25" s="68">
        <v>41460</v>
      </c>
      <c r="D25" s="68">
        <f t="shared" si="6"/>
        <v>41477</v>
      </c>
      <c r="E25" s="30" t="s">
        <v>146</v>
      </c>
      <c r="F25" s="3">
        <v>9</v>
      </c>
      <c r="G25" s="73">
        <v>4031</v>
      </c>
      <c r="H25" s="253">
        <f t="shared" si="7"/>
        <v>1446.51</v>
      </c>
      <c r="I25" s="253">
        <f t="shared" si="8"/>
        <v>1491.39</v>
      </c>
      <c r="J25" s="56">
        <f t="shared" si="9"/>
        <v>6011793.090000001</v>
      </c>
      <c r="K25" s="57">
        <f t="shared" si="10"/>
        <v>5830881.81</v>
      </c>
      <c r="L25" s="79">
        <f t="shared" si="11"/>
        <v>180911.2800000012</v>
      </c>
      <c r="M25" s="80">
        <f t="shared" si="12"/>
        <v>5605.0922731860255</v>
      </c>
      <c r="N25" s="78">
        <f t="shared" si="19"/>
        <v>186516.3722731872</v>
      </c>
      <c r="O25" s="16">
        <f t="shared" si="13"/>
        <v>0</v>
      </c>
      <c r="P25" s="16">
        <f t="shared" si="13"/>
        <v>0</v>
      </c>
      <c r="Q25" s="16">
        <f t="shared" si="13"/>
        <v>71</v>
      </c>
      <c r="R25" s="16">
        <f t="shared" si="13"/>
        <v>92</v>
      </c>
      <c r="S25" s="16">
        <f t="shared" si="14"/>
        <v>90</v>
      </c>
      <c r="T25" s="16">
        <f t="shared" si="14"/>
        <v>91</v>
      </c>
      <c r="U25" s="16">
        <f t="shared" si="14"/>
        <v>0</v>
      </c>
      <c r="V25" s="111">
        <f t="shared" si="17"/>
        <v>0</v>
      </c>
      <c r="W25" s="146">
        <f t="shared" si="18"/>
        <v>0</v>
      </c>
      <c r="X25" s="63">
        <f>($L25+SUM($W25:W25))*(P$11*P25)</f>
        <v>0</v>
      </c>
      <c r="Y25" s="63">
        <f>($L25+SUM($W25:X25))*(Q$11*Q25)</f>
        <v>1143.7062427397336</v>
      </c>
      <c r="Z25" s="63">
        <f>($L25+SUM($W25:Y25))*(R$11*R25)</f>
        <v>1491.3545448377954</v>
      </c>
      <c r="AA25" s="63">
        <f>($L25+SUM($W25:Z25))*(S$11*S25)</f>
        <v>1470.8850597360758</v>
      </c>
      <c r="AB25" s="63">
        <f>($L25+SUM($W25:AA25))*(T$11*T25)</f>
        <v>1499.1464258724207</v>
      </c>
      <c r="AC25" s="63">
        <f>($L25+SUM($W25:AB25))*(U$11*U25)</f>
        <v>0</v>
      </c>
      <c r="AD25" s="63">
        <f>($L25+SUM($W25:AC25))*(V$11*V25)</f>
        <v>0</v>
      </c>
      <c r="AE25" s="115">
        <f t="shared" si="15"/>
        <v>5605.0922731860255</v>
      </c>
    </row>
    <row r="26" spans="1:31" ht="12.75">
      <c r="A26" s="16">
        <v>7</v>
      </c>
      <c r="B26" s="15">
        <f t="shared" si="16"/>
        <v>41456</v>
      </c>
      <c r="C26" s="68">
        <v>41491</v>
      </c>
      <c r="D26" s="68">
        <f t="shared" si="6"/>
        <v>41506</v>
      </c>
      <c r="E26" s="30" t="s">
        <v>146</v>
      </c>
      <c r="F26" s="3">
        <v>9</v>
      </c>
      <c r="G26" s="73">
        <v>3985</v>
      </c>
      <c r="H26" s="253">
        <f aca="true" t="shared" si="20" ref="H26:H31">$K$8</f>
        <v>1586.22</v>
      </c>
      <c r="I26" s="253">
        <f t="shared" si="8"/>
        <v>1491.39</v>
      </c>
      <c r="J26" s="56">
        <f t="shared" si="9"/>
        <v>5943189.15</v>
      </c>
      <c r="K26" s="76">
        <f t="shared" si="10"/>
        <v>6321086.7</v>
      </c>
      <c r="L26" s="79">
        <f t="shared" si="11"/>
        <v>-377897.5499999998</v>
      </c>
      <c r="M26" s="77">
        <f aca="true" t="shared" si="21" ref="M26:M37">+AE26</f>
        <v>-10708.511970339026</v>
      </c>
      <c r="N26" s="78">
        <f t="shared" si="19"/>
        <v>-388606.06197033887</v>
      </c>
      <c r="O26" s="16">
        <f t="shared" si="13"/>
        <v>0</v>
      </c>
      <c r="P26" s="16">
        <f t="shared" si="13"/>
        <v>0</v>
      </c>
      <c r="Q26" s="16">
        <f t="shared" si="13"/>
        <v>42</v>
      </c>
      <c r="R26" s="16">
        <f t="shared" si="13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11">
        <f t="shared" si="17"/>
        <v>0</v>
      </c>
      <c r="W26" s="146">
        <f t="shared" si="18"/>
        <v>0</v>
      </c>
      <c r="X26" s="63">
        <f>($L26+SUM($W26:W26))*(P$11*P26)</f>
        <v>0</v>
      </c>
      <c r="Y26" s="63">
        <f>($L26+SUM($W26:X26))*(Q$11*Q26)</f>
        <v>-1413.233303424657</v>
      </c>
      <c r="Z26" s="63">
        <f>($L26+SUM($W26:Y26))*(R$11*R26)</f>
        <v>-3107.2308002116138</v>
      </c>
      <c r="AA26" s="63">
        <f>($L26+SUM($W26:Z26))*(S$11*S26)</f>
        <v>-3064.582715762015</v>
      </c>
      <c r="AB26" s="63">
        <f>($L26+SUM($W26:AA26))*(T$11*T26)</f>
        <v>-3123.4651509407395</v>
      </c>
      <c r="AC26" s="63">
        <f>($L26+SUM($W26:AB26))*(U$11*U26)</f>
        <v>0</v>
      </c>
      <c r="AD26" s="63">
        <f>($L26+SUM($W26:AC26))*(V$11*V26)</f>
        <v>0</v>
      </c>
      <c r="AE26" s="115">
        <f aca="true" t="shared" si="23" ref="AE26:AE31">SUM(W26:AD26)</f>
        <v>-10708.511970339026</v>
      </c>
    </row>
    <row r="27" spans="1:31" ht="12.75">
      <c r="A27" s="3">
        <v>8</v>
      </c>
      <c r="B27" s="15">
        <f t="shared" si="16"/>
        <v>41487</v>
      </c>
      <c r="C27" s="68">
        <v>41522</v>
      </c>
      <c r="D27" s="68">
        <f t="shared" si="6"/>
        <v>41537</v>
      </c>
      <c r="E27" s="30" t="s">
        <v>146</v>
      </c>
      <c r="F27" s="3">
        <v>9</v>
      </c>
      <c r="G27" s="73">
        <v>3987</v>
      </c>
      <c r="H27" s="253">
        <f t="shared" si="20"/>
        <v>1586.22</v>
      </c>
      <c r="I27" s="253">
        <f t="shared" si="8"/>
        <v>1491.39</v>
      </c>
      <c r="J27" s="56">
        <f t="shared" si="9"/>
        <v>5946171.930000001</v>
      </c>
      <c r="K27" s="76">
        <f t="shared" si="10"/>
        <v>6324259.14</v>
      </c>
      <c r="L27" s="79">
        <f t="shared" si="11"/>
        <v>-378087.20999999903</v>
      </c>
      <c r="M27" s="77">
        <f t="shared" si="21"/>
        <v>-9644.687344964781</v>
      </c>
      <c r="N27" s="78">
        <f t="shared" si="19"/>
        <v>-387731.8973449638</v>
      </c>
      <c r="O27" s="16">
        <f t="shared" si="13"/>
        <v>0</v>
      </c>
      <c r="P27" s="16">
        <f t="shared" si="13"/>
        <v>0</v>
      </c>
      <c r="Q27" s="16">
        <f t="shared" si="13"/>
        <v>11</v>
      </c>
      <c r="R27" s="16">
        <f t="shared" si="13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11">
        <f t="shared" si="17"/>
        <v>0</v>
      </c>
      <c r="W27" s="146">
        <f t="shared" si="18"/>
        <v>0</v>
      </c>
      <c r="X27" s="63">
        <f>($L27+SUM($W27:W27))*(P$11*P27)</f>
        <v>0</v>
      </c>
      <c r="Y27" s="63">
        <f>($L27+SUM($W27:X27))*(Q$11*Q27)</f>
        <v>-370.3182947260264</v>
      </c>
      <c r="Z27" s="63">
        <f>($L27+SUM($W27:Y27))*(R$11*R27)</f>
        <v>-3100.2411221951447</v>
      </c>
      <c r="AA27" s="63">
        <f>($L27+SUM($W27:Z27))*(S$11*S27)</f>
        <v>-3057.688974094497</v>
      </c>
      <c r="AB27" s="63">
        <f>($L27+SUM($W27:AA27))*(T$11*T27)</f>
        <v>-3116.4389539491126</v>
      </c>
      <c r="AC27" s="63">
        <f>($L27+SUM($W27:AB27))*(U$11*U27)</f>
        <v>0</v>
      </c>
      <c r="AD27" s="63">
        <f>($L27+SUM($W27:AC27))*(V$11*V27)</f>
        <v>0</v>
      </c>
      <c r="AE27" s="115">
        <f t="shared" si="23"/>
        <v>-9644.687344964781</v>
      </c>
    </row>
    <row r="28" spans="1:31" ht="12.75">
      <c r="A28" s="3">
        <v>9</v>
      </c>
      <c r="B28" s="15">
        <f t="shared" si="16"/>
        <v>41518</v>
      </c>
      <c r="C28" s="68">
        <v>41550</v>
      </c>
      <c r="D28" s="68">
        <f t="shared" si="6"/>
        <v>41565</v>
      </c>
      <c r="E28" s="30" t="s">
        <v>146</v>
      </c>
      <c r="F28" s="3">
        <v>9</v>
      </c>
      <c r="G28" s="73">
        <v>3601</v>
      </c>
      <c r="H28" s="253">
        <f t="shared" si="20"/>
        <v>1586.22</v>
      </c>
      <c r="I28" s="253">
        <f t="shared" si="8"/>
        <v>1491.39</v>
      </c>
      <c r="J28" s="56">
        <f t="shared" si="9"/>
        <v>5370495.390000001</v>
      </c>
      <c r="K28" s="76">
        <f t="shared" si="10"/>
        <v>5711978.22</v>
      </c>
      <c r="L28" s="79">
        <f t="shared" si="11"/>
        <v>-341482.82999999914</v>
      </c>
      <c r="M28" s="77">
        <f t="shared" si="21"/>
        <v>-7843.011675201601</v>
      </c>
      <c r="N28" s="78">
        <f t="shared" si="19"/>
        <v>-349325.84167520073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75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11">
        <f t="shared" si="17"/>
        <v>0</v>
      </c>
      <c r="W28" s="146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-2280.450405821912</v>
      </c>
      <c r="AA28" s="63">
        <f>($L28+SUM($W28:Z28))*(S$11*S28)</f>
        <v>-2754.8153292795246</v>
      </c>
      <c r="AB28" s="63">
        <f>($L28+SUM($W28:AA28))*(T$11*T28)</f>
        <v>-2807.7459401001643</v>
      </c>
      <c r="AC28" s="63">
        <f>($L28+SUM($W28:AB28))*(U$11*U28)</f>
        <v>0</v>
      </c>
      <c r="AD28" s="63">
        <f>($L28+SUM($W28:AC28))*(V$11*V28)</f>
        <v>0</v>
      </c>
      <c r="AE28" s="115">
        <f t="shared" si="23"/>
        <v>-7843.011675201601</v>
      </c>
    </row>
    <row r="29" spans="1:31" ht="12.75">
      <c r="A29" s="16">
        <v>10</v>
      </c>
      <c r="B29" s="15">
        <f t="shared" si="16"/>
        <v>41548</v>
      </c>
      <c r="C29" s="68">
        <v>41583</v>
      </c>
      <c r="D29" s="68">
        <f t="shared" si="6"/>
        <v>41598</v>
      </c>
      <c r="E29" s="30" t="s">
        <v>146</v>
      </c>
      <c r="F29" s="3">
        <v>9</v>
      </c>
      <c r="G29" s="73">
        <v>3178</v>
      </c>
      <c r="H29" s="253">
        <f t="shared" si="20"/>
        <v>1586.22</v>
      </c>
      <c r="I29" s="253">
        <f t="shared" si="8"/>
        <v>1491.39</v>
      </c>
      <c r="J29" s="56">
        <f t="shared" si="9"/>
        <v>4739637.42</v>
      </c>
      <c r="K29" s="76">
        <f t="shared" si="10"/>
        <v>5041007.16</v>
      </c>
      <c r="L29" s="79">
        <f t="shared" si="11"/>
        <v>-301369.7400000002</v>
      </c>
      <c r="M29" s="77">
        <f t="shared" si="21"/>
        <v>-6021.8529700466615</v>
      </c>
      <c r="N29" s="78">
        <f t="shared" si="19"/>
        <v>-307391.5929700469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42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11">
        <f t="shared" si="17"/>
        <v>0</v>
      </c>
      <c r="W29" s="146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-1127.040260547946</v>
      </c>
      <c r="AA29" s="63">
        <f>($L29+SUM($W29:Z29))*(S$11*S29)</f>
        <v>-2424.118033594804</v>
      </c>
      <c r="AB29" s="63">
        <f>($L29+SUM($W29:AA29))*(T$11*T29)</f>
        <v>-2470.694675903912</v>
      </c>
      <c r="AC29" s="63">
        <f>($L29+SUM($W29:AB29))*(U$11*U29)</f>
        <v>0</v>
      </c>
      <c r="AD29" s="63">
        <f>($L29+SUM($W29:AC29))*(V$11*V29)</f>
        <v>0</v>
      </c>
      <c r="AE29" s="115">
        <f t="shared" si="23"/>
        <v>-6021.8529700466615</v>
      </c>
    </row>
    <row r="30" spans="1:31" ht="12.75">
      <c r="A30" s="3">
        <v>11</v>
      </c>
      <c r="B30" s="15">
        <f t="shared" si="16"/>
        <v>41579</v>
      </c>
      <c r="C30" s="68">
        <v>41612</v>
      </c>
      <c r="D30" s="68">
        <f t="shared" si="6"/>
        <v>41627</v>
      </c>
      <c r="E30" s="30" t="s">
        <v>146</v>
      </c>
      <c r="F30" s="3">
        <v>9</v>
      </c>
      <c r="G30" s="73">
        <v>2437</v>
      </c>
      <c r="H30" s="253">
        <f t="shared" si="20"/>
        <v>1586.22</v>
      </c>
      <c r="I30" s="253">
        <f t="shared" si="8"/>
        <v>1491.39</v>
      </c>
      <c r="J30" s="56">
        <f t="shared" si="9"/>
        <v>3634517.43</v>
      </c>
      <c r="K30" s="76">
        <f t="shared" si="10"/>
        <v>3865618.14</v>
      </c>
      <c r="L30" s="79">
        <f t="shared" si="11"/>
        <v>-231100.70999999996</v>
      </c>
      <c r="M30" s="77">
        <f t="shared" si="21"/>
        <v>-4011.3620054592448</v>
      </c>
      <c r="N30" s="78">
        <f t="shared" si="19"/>
        <v>-235112.0720054592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13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11">
        <f t="shared" si="17"/>
        <v>0</v>
      </c>
      <c r="W30" s="146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-267.50698623287667</v>
      </c>
      <c r="AA30" s="63">
        <f>($L30+SUM($W30:Z30))*(S$11*S30)</f>
        <v>-1854.115163519811</v>
      </c>
      <c r="AB30" s="63">
        <f>($L30+SUM($W30:AA30))*(T$11*T30)</f>
        <v>-1889.7398557065574</v>
      </c>
      <c r="AC30" s="63">
        <f>($L30+SUM($W30:AB30))*(U$11*U30)</f>
        <v>0</v>
      </c>
      <c r="AD30" s="63">
        <f>($L30+SUM($W30:AC30))*(V$11*V30)</f>
        <v>0</v>
      </c>
      <c r="AE30" s="115">
        <f t="shared" si="23"/>
        <v>-4011.3620054592448</v>
      </c>
    </row>
    <row r="31" spans="1:31" ht="12.75">
      <c r="A31" s="3">
        <v>12</v>
      </c>
      <c r="B31" s="15">
        <f t="shared" si="16"/>
        <v>41609</v>
      </c>
      <c r="C31" s="68">
        <v>41280</v>
      </c>
      <c r="D31" s="68">
        <f t="shared" si="6"/>
        <v>41295</v>
      </c>
      <c r="E31" s="30" t="s">
        <v>146</v>
      </c>
      <c r="F31" s="3">
        <v>9</v>
      </c>
      <c r="G31" s="89">
        <v>2759</v>
      </c>
      <c r="H31" s="254">
        <f t="shared" si="20"/>
        <v>1586.22</v>
      </c>
      <c r="I31" s="254">
        <f t="shared" si="8"/>
        <v>1491.39</v>
      </c>
      <c r="J31" s="90">
        <f t="shared" si="9"/>
        <v>4114745.0100000002</v>
      </c>
      <c r="K31" s="91">
        <f t="shared" si="10"/>
        <v>4376380.98</v>
      </c>
      <c r="L31" s="92">
        <f t="shared" si="11"/>
        <v>-261635.9700000002</v>
      </c>
      <c r="M31" s="93">
        <f t="shared" si="21"/>
        <v>-12495.113919915353</v>
      </c>
      <c r="N31" s="94">
        <f t="shared" si="19"/>
        <v>-274131.08391991555</v>
      </c>
      <c r="O31" s="16">
        <f t="shared" si="13"/>
        <v>70</v>
      </c>
      <c r="P31" s="16">
        <f t="shared" si="13"/>
        <v>91</v>
      </c>
      <c r="Q31" s="16">
        <f t="shared" si="13"/>
        <v>92</v>
      </c>
      <c r="R31" s="16">
        <f t="shared" si="13"/>
        <v>92</v>
      </c>
      <c r="S31" s="16">
        <f t="shared" si="22"/>
        <v>90</v>
      </c>
      <c r="T31" s="16">
        <f t="shared" si="22"/>
        <v>91</v>
      </c>
      <c r="U31" s="16">
        <f t="shared" si="22"/>
        <v>0</v>
      </c>
      <c r="V31" s="111">
        <f t="shared" si="17"/>
        <v>0</v>
      </c>
      <c r="W31" s="146">
        <f t="shared" si="18"/>
        <v>-1630.7447445205494</v>
      </c>
      <c r="X31" s="63">
        <f>($L31+SUM($W31:W31))*(P$11*P31)</f>
        <v>-2133.1816681011514</v>
      </c>
      <c r="Y31" s="63">
        <f>($L31+SUM($W31:X31))*(Q$11*Q31)</f>
        <v>-2174.097781571889</v>
      </c>
      <c r="Z31" s="63">
        <f>($L31+SUM($W31:Y31))*(R$11*R31)</f>
        <v>-2191.9075140839436</v>
      </c>
      <c r="AA31" s="63">
        <f>($L31+SUM($W31:Z31))*(S$11*S31)</f>
        <v>-2161.822636977294</v>
      </c>
      <c r="AB31" s="63">
        <f>($L31+SUM($W31:AA31))*(T$11*T31)</f>
        <v>-2203.3595746605256</v>
      </c>
      <c r="AC31" s="63">
        <f>($L31+SUM($W31:AB31))*(U$11*U31)</f>
        <v>0</v>
      </c>
      <c r="AD31" s="63">
        <f>($L31+SUM($W31:AC31))*(V$11*V31)</f>
        <v>0</v>
      </c>
      <c r="AE31" s="115">
        <f t="shared" si="23"/>
        <v>-12495.113919915353</v>
      </c>
    </row>
    <row r="32" spans="1:31" ht="12.75">
      <c r="A32" s="16">
        <v>1</v>
      </c>
      <c r="B32" s="158">
        <f t="shared" si="16"/>
        <v>41275</v>
      </c>
      <c r="C32" s="248">
        <f aca="true" t="shared" si="24" ref="C32:D51">+C20</f>
        <v>41310</v>
      </c>
      <c r="D32" s="248">
        <f t="shared" si="24"/>
        <v>41325</v>
      </c>
      <c r="E32" s="159" t="s">
        <v>147</v>
      </c>
      <c r="F32" s="160">
        <v>9</v>
      </c>
      <c r="G32" s="330">
        <v>2961.5</v>
      </c>
      <c r="H32" s="253">
        <f aca="true" t="shared" si="25" ref="H32:H37">$K$3</f>
        <v>1446.51</v>
      </c>
      <c r="I32" s="253">
        <f t="shared" si="8"/>
        <v>1491.39</v>
      </c>
      <c r="J32" s="56">
        <f t="shared" si="9"/>
        <v>4416751.485</v>
      </c>
      <c r="K32" s="57">
        <f t="shared" si="10"/>
        <v>4283839.365</v>
      </c>
      <c r="L32" s="58">
        <f t="shared" si="11"/>
        <v>132912.1200000001</v>
      </c>
      <c r="M32" s="55">
        <f t="shared" si="21"/>
        <v>5977.87706563744</v>
      </c>
      <c r="N32" s="29">
        <f t="shared" si="19"/>
        <v>138889.99706563755</v>
      </c>
      <c r="O32" s="160">
        <f aca="true" t="shared" si="26" ref="O32:O67">IF($D32&lt;O$8,O$12,IF($D32&lt;P$8,P$8-$D32,0))</f>
        <v>40</v>
      </c>
      <c r="P32" s="160">
        <f aca="true" t="shared" si="27" ref="P32:P67">IF($D32&lt;P$8,P$12,IF($D32&lt;Q$8,Q$8-$D32,0))</f>
        <v>91</v>
      </c>
      <c r="Q32" s="160">
        <f aca="true" t="shared" si="28" ref="Q32:Q67">IF($D32&lt;Q$8,Q$12,IF($D32&lt;R$8,R$8-$D32,0))</f>
        <v>92</v>
      </c>
      <c r="R32" s="160">
        <f aca="true" t="shared" si="29" ref="R32:U47">IF($D32&lt;R$8,R$12,IF($D32&lt;S$8,S$8-$D32,0))</f>
        <v>92</v>
      </c>
      <c r="S32" s="160">
        <f t="shared" si="29"/>
        <v>90</v>
      </c>
      <c r="T32" s="160">
        <f t="shared" si="29"/>
        <v>91</v>
      </c>
      <c r="U32" s="160">
        <f t="shared" si="29"/>
        <v>0</v>
      </c>
      <c r="V32" s="162">
        <f>IF(W$8&lt;V$8,0,IF($D32&lt;V$8,V$12,IF($D32&lt;W$8,W$8-$D32,0)))</f>
        <v>0</v>
      </c>
      <c r="W32" s="163">
        <f>$L32*O$11*O32</f>
        <v>473.3856328767127</v>
      </c>
      <c r="X32" s="164">
        <f>($L32+SUM($W32:W32))*(P$11*P32)</f>
        <v>1080.7880353677622</v>
      </c>
      <c r="Y32" s="164">
        <f>($L32+SUM($W32:X32))*(Q$11*Q32)</f>
        <v>1101.5184056658939</v>
      </c>
      <c r="Z32" s="164">
        <f>($L32+SUM($W32:Y32))*(R$11*R32)</f>
        <v>1110.5418030164174</v>
      </c>
      <c r="AA32" s="164">
        <f>($L32+SUM($W32:Z32))*(S$11*S32)</f>
        <v>1095.2991372329072</v>
      </c>
      <c r="AB32" s="164">
        <f>($L32+SUM($W32:AA32))*(T$11*T32)</f>
        <v>1116.3440514777471</v>
      </c>
      <c r="AC32" s="164">
        <f>($L32+SUM($W32:AB32))*(U$11*U32)</f>
        <v>0</v>
      </c>
      <c r="AD32" s="164">
        <f>($L32+SUM($W32:AC32))*(V$11*V32)</f>
        <v>0</v>
      </c>
      <c r="AE32" s="114">
        <f aca="true" t="shared" si="30" ref="AE32:AE37">SUM(W32:AD32)</f>
        <v>5977.87706563744</v>
      </c>
    </row>
    <row r="33" spans="1:31" ht="12.75">
      <c r="A33" s="3">
        <v>2</v>
      </c>
      <c r="B33" s="15">
        <f t="shared" si="16"/>
        <v>41306</v>
      </c>
      <c r="C33" s="249">
        <f t="shared" si="24"/>
        <v>41338</v>
      </c>
      <c r="D33" s="249">
        <f t="shared" si="24"/>
        <v>41353</v>
      </c>
      <c r="E33" s="71" t="s">
        <v>147</v>
      </c>
      <c r="F33" s="3">
        <v>9</v>
      </c>
      <c r="G33" s="330">
        <v>2590.5</v>
      </c>
      <c r="H33" s="253">
        <f t="shared" si="25"/>
        <v>1446.51</v>
      </c>
      <c r="I33" s="253">
        <f t="shared" si="8"/>
        <v>1491.39</v>
      </c>
      <c r="J33" s="56">
        <f t="shared" si="9"/>
        <v>3863445.7950000004</v>
      </c>
      <c r="K33" s="57">
        <f t="shared" si="10"/>
        <v>3747184.155</v>
      </c>
      <c r="L33" s="58">
        <f t="shared" si="11"/>
        <v>116261.6400000006</v>
      </c>
      <c r="M33" s="55">
        <f t="shared" si="21"/>
        <v>4927.1828720027725</v>
      </c>
      <c r="N33" s="29">
        <f t="shared" si="19"/>
        <v>121188.82287200337</v>
      </c>
      <c r="O33" s="16">
        <f t="shared" si="26"/>
        <v>12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11">
        <f t="shared" si="17"/>
        <v>0</v>
      </c>
      <c r="W33" s="146">
        <f aca="true" t="shared" si="31" ref="W33:W43">$L33*O$11*O33</f>
        <v>124.22476602739789</v>
      </c>
      <c r="X33" s="63">
        <f>($L33+SUM($W33:W33))*(P$11*P33)</f>
        <v>943.0443699877474</v>
      </c>
      <c r="Y33" s="63">
        <f>($L33+SUM($W33:X33))*(Q$11*Q33)</f>
        <v>961.1327077169508</v>
      </c>
      <c r="Z33" s="63">
        <f>($L33+SUM($W33:Y33))*(R$11*R33)</f>
        <v>969.0060961993444</v>
      </c>
      <c r="AA33" s="63">
        <f>($L33+SUM($W33:Z33))*(S$11*S33)</f>
        <v>955.7060691076745</v>
      </c>
      <c r="AB33" s="63">
        <f>($L33+SUM($W33:AA33))*(T$11*T33)</f>
        <v>974.0688629636574</v>
      </c>
      <c r="AC33" s="63">
        <f>($L33+SUM($W33:AB33))*(U$11*U33)</f>
        <v>0</v>
      </c>
      <c r="AD33" s="63">
        <f>($L33+SUM($W33:AC33))*(V$11*V33)</f>
        <v>0</v>
      </c>
      <c r="AE33" s="115">
        <f t="shared" si="30"/>
        <v>4927.1828720027725</v>
      </c>
    </row>
    <row r="34" spans="1:31" ht="12.75">
      <c r="A34" s="3">
        <v>3</v>
      </c>
      <c r="B34" s="15">
        <f t="shared" si="16"/>
        <v>41334</v>
      </c>
      <c r="C34" s="249">
        <f t="shared" si="24"/>
        <v>41367</v>
      </c>
      <c r="D34" s="249">
        <f t="shared" si="24"/>
        <v>41382</v>
      </c>
      <c r="E34" s="71" t="s">
        <v>147</v>
      </c>
      <c r="F34" s="3">
        <v>9</v>
      </c>
      <c r="G34" s="330">
        <v>2694.5</v>
      </c>
      <c r="H34" s="253">
        <f t="shared" si="25"/>
        <v>1446.51</v>
      </c>
      <c r="I34" s="253">
        <f t="shared" si="8"/>
        <v>1491.39</v>
      </c>
      <c r="J34" s="56">
        <f t="shared" si="9"/>
        <v>4018550.3550000004</v>
      </c>
      <c r="K34" s="57">
        <f aca="true" t="shared" si="32" ref="K34:K69">+$G34*H34</f>
        <v>3897621.195</v>
      </c>
      <c r="L34" s="58">
        <f t="shared" si="11"/>
        <v>120929.16000000061</v>
      </c>
      <c r="M34" s="55">
        <f t="shared" si="21"/>
        <v>4801.376379745984</v>
      </c>
      <c r="N34" s="29">
        <f>SUM(L34:M34)</f>
        <v>125730.5363797466</v>
      </c>
      <c r="O34" s="16">
        <f aca="true" t="shared" si="33" ref="O34:U34">IF($D34&lt;O$8,O$12,IF($D34&lt;P$8,P$8-$D34,0))</f>
        <v>0</v>
      </c>
      <c r="P34" s="16">
        <f t="shared" si="33"/>
        <v>74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11">
        <f>IF(W$8&lt;V$8,0,IF($D34&lt;V$8,V$12,IF($D34&lt;W$8,W$8-$D34,0)))</f>
        <v>0</v>
      </c>
      <c r="W34" s="146">
        <f>$L34*O$11*O34</f>
        <v>0</v>
      </c>
      <c r="X34" s="63">
        <f>($L34+SUM($W34:W34))*(P$11*P34)</f>
        <v>796.8072049315108</v>
      </c>
      <c r="Y34" s="63">
        <f>($L34+SUM($W34:X34))*(Q$11*Q34)</f>
        <v>997.1524436787589</v>
      </c>
      <c r="Z34" s="63">
        <f>($L34+SUM($W34:Y34))*(R$11*R34)</f>
        <v>1005.320897943415</v>
      </c>
      <c r="AA34" s="63">
        <f>($L34+SUM($W34:Z34))*(S$11*S34)</f>
        <v>991.5224345169077</v>
      </c>
      <c r="AB34" s="63">
        <f>($L34+SUM($W34:AA34))*(T$11*T34)</f>
        <v>1010.573398675392</v>
      </c>
      <c r="AC34" s="63">
        <f>($L34+SUM($W34:AB34))*(U$11*U34)</f>
        <v>0</v>
      </c>
      <c r="AD34" s="63">
        <f>($L34+SUM($W34:AC34))*(V$11*V34)</f>
        <v>0</v>
      </c>
      <c r="AE34" s="115">
        <f t="shared" si="30"/>
        <v>4801.376379745984</v>
      </c>
    </row>
    <row r="35" spans="1:31" ht="12.75">
      <c r="A35" s="16">
        <v>4</v>
      </c>
      <c r="B35" s="15">
        <f t="shared" si="16"/>
        <v>41365</v>
      </c>
      <c r="C35" s="249">
        <f t="shared" si="24"/>
        <v>41397</v>
      </c>
      <c r="D35" s="249">
        <f t="shared" si="24"/>
        <v>41414</v>
      </c>
      <c r="E35" s="71" t="s">
        <v>147</v>
      </c>
      <c r="F35" s="3">
        <v>9</v>
      </c>
      <c r="G35" s="330">
        <v>2579.5</v>
      </c>
      <c r="H35" s="253">
        <f t="shared" si="25"/>
        <v>1446.51</v>
      </c>
      <c r="I35" s="253">
        <f t="shared" si="8"/>
        <v>1491.39</v>
      </c>
      <c r="J35" s="56">
        <f t="shared" si="9"/>
        <v>3847040.5050000004</v>
      </c>
      <c r="K35" s="57">
        <f t="shared" si="32"/>
        <v>3731272.545</v>
      </c>
      <c r="L35" s="58">
        <f aca="true" t="shared" si="34" ref="L35:L45">+J35-K35</f>
        <v>115767.96000000043</v>
      </c>
      <c r="M35" s="55">
        <f t="shared" si="21"/>
        <v>4255.744697186463</v>
      </c>
      <c r="N35" s="29">
        <f aca="true" t="shared" si="35" ref="N35:N45">SUM(L35:M35)</f>
        <v>120023.70469718688</v>
      </c>
      <c r="O35" s="16">
        <f t="shared" si="26"/>
        <v>0</v>
      </c>
      <c r="P35" s="16">
        <f t="shared" si="27"/>
        <v>42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11">
        <f t="shared" si="17"/>
        <v>0</v>
      </c>
      <c r="W35" s="146">
        <f t="shared" si="31"/>
        <v>0</v>
      </c>
      <c r="X35" s="63">
        <f>($L35+SUM($W35:W35))*(P$11*P35)</f>
        <v>432.94045315068655</v>
      </c>
      <c r="Y35" s="63">
        <f>($L35+SUM($W35:X35))*(Q$11*Q35)</f>
        <v>951.8923078217035</v>
      </c>
      <c r="Z35" s="63">
        <f>($L35+SUM($W35:Y35))*(R$11*R35)</f>
        <v>959.6900009734485</v>
      </c>
      <c r="AA35" s="63">
        <f>($L35+SUM($W35:Z35))*(S$11*S35)</f>
        <v>946.5178413114871</v>
      </c>
      <c r="AB35" s="63">
        <f>($L35+SUM($W35:AA35))*(T$11*T35)</f>
        <v>964.7040939291364</v>
      </c>
      <c r="AC35" s="63">
        <f>($L35+SUM($W35:AB35))*(U$11*U35)</f>
        <v>0</v>
      </c>
      <c r="AD35" s="63">
        <f>($L35+SUM($W35:AC35))*(V$11*V35)</f>
        <v>0</v>
      </c>
      <c r="AE35" s="115">
        <f t="shared" si="30"/>
        <v>4255.744697186463</v>
      </c>
    </row>
    <row r="36" spans="1:31" ht="12.75">
      <c r="A36" s="3">
        <v>5</v>
      </c>
      <c r="B36" s="15">
        <f t="shared" si="16"/>
        <v>41395</v>
      </c>
      <c r="C36" s="249">
        <f t="shared" si="24"/>
        <v>41430</v>
      </c>
      <c r="D36" s="249">
        <f t="shared" si="24"/>
        <v>41445</v>
      </c>
      <c r="E36" s="30" t="s">
        <v>147</v>
      </c>
      <c r="F36" s="3">
        <v>9</v>
      </c>
      <c r="G36" s="330">
        <v>3132.5</v>
      </c>
      <c r="H36" s="253">
        <f t="shared" si="25"/>
        <v>1446.51</v>
      </c>
      <c r="I36" s="253">
        <f t="shared" si="8"/>
        <v>1491.39</v>
      </c>
      <c r="J36" s="56">
        <f t="shared" si="9"/>
        <v>4671779.175000001</v>
      </c>
      <c r="K36" s="57">
        <f t="shared" si="32"/>
        <v>4531192.575</v>
      </c>
      <c r="L36" s="58">
        <f t="shared" si="34"/>
        <v>140586.60000000056</v>
      </c>
      <c r="M36" s="55">
        <f t="shared" si="21"/>
        <v>4767.278507905858</v>
      </c>
      <c r="N36" s="29">
        <f t="shared" si="35"/>
        <v>145353.87850790643</v>
      </c>
      <c r="O36" s="16">
        <f t="shared" si="26"/>
        <v>0</v>
      </c>
      <c r="P36" s="16">
        <f t="shared" si="27"/>
        <v>11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11">
        <f t="shared" si="17"/>
        <v>0</v>
      </c>
      <c r="W36" s="146">
        <f t="shared" si="31"/>
        <v>0</v>
      </c>
      <c r="X36" s="63">
        <f>($L36+SUM($W36:W36))*(P$11*P36)</f>
        <v>137.6978342465759</v>
      </c>
      <c r="Y36" s="63">
        <f>($L36+SUM($W36:X36))*(Q$11*Q36)</f>
        <v>1152.7826041764354</v>
      </c>
      <c r="Z36" s="63">
        <f>($L36+SUM($W36:Y36))*(R$11*R36)</f>
        <v>1162.2259466051685</v>
      </c>
      <c r="AA36" s="63">
        <f>($L36+SUM($W36:Z36))*(S$11*S36)</f>
        <v>1146.2738936334492</v>
      </c>
      <c r="AB36" s="63">
        <f>($L36+SUM($W36:AA36))*(T$11*T36)</f>
        <v>1168.2982292442284</v>
      </c>
      <c r="AC36" s="63">
        <f>($L36+SUM($W36:AB36))*(U$11*U36)</f>
        <v>0</v>
      </c>
      <c r="AD36" s="63">
        <f>($L36+SUM($W36:AC36))*(V$11*V36)</f>
        <v>0</v>
      </c>
      <c r="AE36" s="115">
        <f t="shared" si="30"/>
        <v>4767.278507905858</v>
      </c>
    </row>
    <row r="37" spans="1:31" ht="12.75">
      <c r="A37" s="3">
        <v>6</v>
      </c>
      <c r="B37" s="15">
        <f t="shared" si="16"/>
        <v>41426</v>
      </c>
      <c r="C37" s="249">
        <f t="shared" si="24"/>
        <v>41460</v>
      </c>
      <c r="D37" s="249">
        <f t="shared" si="24"/>
        <v>41477</v>
      </c>
      <c r="E37" s="30" t="s">
        <v>147</v>
      </c>
      <c r="F37" s="3">
        <v>9</v>
      </c>
      <c r="G37" s="330">
        <v>3680.5</v>
      </c>
      <c r="H37" s="253">
        <f t="shared" si="25"/>
        <v>1446.51</v>
      </c>
      <c r="I37" s="253">
        <f t="shared" si="8"/>
        <v>1491.39</v>
      </c>
      <c r="J37" s="56">
        <f t="shared" si="9"/>
        <v>5489060.8950000005</v>
      </c>
      <c r="K37" s="57">
        <f t="shared" si="32"/>
        <v>5323880.055</v>
      </c>
      <c r="L37" s="79">
        <f t="shared" si="34"/>
        <v>165180.84000000078</v>
      </c>
      <c r="M37" s="80">
        <f t="shared" si="21"/>
        <v>5117.723173272421</v>
      </c>
      <c r="N37" s="78">
        <f t="shared" si="35"/>
        <v>170298.5631732732</v>
      </c>
      <c r="O37" s="16">
        <f t="shared" si="26"/>
        <v>0</v>
      </c>
      <c r="P37" s="16">
        <f t="shared" si="27"/>
        <v>0</v>
      </c>
      <c r="Q37" s="16">
        <f t="shared" si="28"/>
        <v>71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11">
        <f t="shared" si="17"/>
        <v>0</v>
      </c>
      <c r="W37" s="146">
        <f t="shared" si="31"/>
        <v>0</v>
      </c>
      <c r="X37" s="63">
        <f>($L37+SUM($W37:W37))*(P$11*P37)</f>
        <v>0</v>
      </c>
      <c r="Y37" s="63">
        <f>($L37+SUM($W37:X37))*(Q$11*Q37)</f>
        <v>1044.2596939726077</v>
      </c>
      <c r="Z37" s="63">
        <f>($L37+SUM($W37:Y37))*(R$11*R37)</f>
        <v>1361.679583794467</v>
      </c>
      <c r="AA37" s="63">
        <f>($L37+SUM($W37:Z37))*(S$11*S37)</f>
        <v>1342.9899435273178</v>
      </c>
      <c r="AB37" s="63">
        <f>($L37+SUM($W37:AA37))*(T$11*T37)</f>
        <v>1368.7939519780286</v>
      </c>
      <c r="AC37" s="63">
        <f>($L37+SUM($W37:AB37))*(U$11*U37)</f>
        <v>0</v>
      </c>
      <c r="AD37" s="63">
        <f>($L37+SUM($W37:AC37))*(V$11*V37)</f>
        <v>0</v>
      </c>
      <c r="AE37" s="115">
        <f t="shared" si="30"/>
        <v>5117.723173272421</v>
      </c>
    </row>
    <row r="38" spans="1:31" ht="12.75">
      <c r="A38" s="16">
        <v>7</v>
      </c>
      <c r="B38" s="15">
        <f t="shared" si="16"/>
        <v>41456</v>
      </c>
      <c r="C38" s="249">
        <f t="shared" si="24"/>
        <v>41491</v>
      </c>
      <c r="D38" s="249">
        <f t="shared" si="24"/>
        <v>41506</v>
      </c>
      <c r="E38" s="30" t="s">
        <v>147</v>
      </c>
      <c r="F38" s="3">
        <v>9</v>
      </c>
      <c r="G38" s="330">
        <v>3633.5</v>
      </c>
      <c r="H38" s="253">
        <f aca="true" t="shared" si="36" ref="H38:H43">$K$8</f>
        <v>1586.22</v>
      </c>
      <c r="I38" s="253">
        <f t="shared" si="8"/>
        <v>1491.39</v>
      </c>
      <c r="J38" s="56">
        <f t="shared" si="9"/>
        <v>5418965.565</v>
      </c>
      <c r="K38" s="76">
        <f t="shared" si="32"/>
        <v>5763530.37</v>
      </c>
      <c r="L38" s="79">
        <f t="shared" si="34"/>
        <v>-344564.8049999997</v>
      </c>
      <c r="M38" s="77">
        <f aca="true" t="shared" si="37" ref="M38:M73">+AE38</f>
        <v>-9763.959408839859</v>
      </c>
      <c r="N38" s="78">
        <f t="shared" si="35"/>
        <v>-354328.7644088396</v>
      </c>
      <c r="O38" s="16">
        <f t="shared" si="26"/>
        <v>0</v>
      </c>
      <c r="P38" s="16">
        <f t="shared" si="27"/>
        <v>0</v>
      </c>
      <c r="Q38" s="16">
        <f t="shared" si="28"/>
        <v>42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11">
        <f t="shared" si="17"/>
        <v>0</v>
      </c>
      <c r="W38" s="146">
        <f t="shared" si="31"/>
        <v>0</v>
      </c>
      <c r="X38" s="63">
        <f>($L38+SUM($W38:W38))*(P$11*P38)</f>
        <v>0</v>
      </c>
      <c r="Y38" s="63">
        <f>($L38+SUM($W38:X38))*(Q$11*Q38)</f>
        <v>-1288.5779693835605</v>
      </c>
      <c r="Z38" s="63">
        <f>($L38+SUM($W38:Y38))*(R$11*R38)</f>
        <v>-2833.1551098039886</v>
      </c>
      <c r="AA38" s="63">
        <f>($L38+SUM($W38:Z38))*(S$11*S38)</f>
        <v>-2794.268832552391</v>
      </c>
      <c r="AB38" s="63">
        <f>($L38+SUM($W38:AA38))*(T$11*T38)</f>
        <v>-2847.957497099918</v>
      </c>
      <c r="AC38" s="63">
        <f>($L38+SUM($W38:AB38))*(U$11*U38)</f>
        <v>0</v>
      </c>
      <c r="AD38" s="63">
        <f>($L38+SUM($W38:AC38))*(V$11*V38)</f>
        <v>0</v>
      </c>
      <c r="AE38" s="115">
        <f aca="true" t="shared" si="38" ref="AE38:AE43">SUM(W38:AD38)</f>
        <v>-9763.959408839859</v>
      </c>
    </row>
    <row r="39" spans="1:31" ht="12.75">
      <c r="A39" s="3">
        <v>8</v>
      </c>
      <c r="B39" s="15">
        <f t="shared" si="16"/>
        <v>41487</v>
      </c>
      <c r="C39" s="249">
        <f t="shared" si="24"/>
        <v>41522</v>
      </c>
      <c r="D39" s="249">
        <f t="shared" si="24"/>
        <v>41537</v>
      </c>
      <c r="E39" s="30" t="s">
        <v>147</v>
      </c>
      <c r="F39" s="3">
        <v>9</v>
      </c>
      <c r="G39" s="330">
        <v>3725.5</v>
      </c>
      <c r="H39" s="253">
        <f t="shared" si="36"/>
        <v>1586.22</v>
      </c>
      <c r="I39" s="253">
        <f t="shared" si="8"/>
        <v>1491.39</v>
      </c>
      <c r="J39" s="56">
        <f t="shared" si="9"/>
        <v>5556173.445</v>
      </c>
      <c r="K39" s="76">
        <f t="shared" si="32"/>
        <v>5909462.61</v>
      </c>
      <c r="L39" s="79">
        <f t="shared" si="34"/>
        <v>-353289.16500000004</v>
      </c>
      <c r="M39" s="77">
        <f t="shared" si="37"/>
        <v>-9012.110033525554</v>
      </c>
      <c r="N39" s="78">
        <f t="shared" si="35"/>
        <v>-362301.2750335256</v>
      </c>
      <c r="O39" s="16">
        <f t="shared" si="26"/>
        <v>0</v>
      </c>
      <c r="P39" s="16">
        <f t="shared" si="27"/>
        <v>0</v>
      </c>
      <c r="Q39" s="16">
        <f t="shared" si="28"/>
        <v>11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11">
        <f t="shared" si="17"/>
        <v>0</v>
      </c>
      <c r="W39" s="146">
        <f t="shared" si="31"/>
        <v>0</v>
      </c>
      <c r="X39" s="63">
        <f>($L39+SUM($W39:W39))*(P$11*P39)</f>
        <v>0</v>
      </c>
      <c r="Y39" s="63">
        <f>($L39+SUM($W39:X39))*(Q$11*Q39)</f>
        <v>-346.02979859589044</v>
      </c>
      <c r="Z39" s="63">
        <f>($L39+SUM($W39:Y39))*(R$11*R39)</f>
        <v>-2896.902006706306</v>
      </c>
      <c r="AA39" s="63">
        <f>($L39+SUM($W39:Z39))*(S$11*S39)</f>
        <v>-2857.140775768518</v>
      </c>
      <c r="AB39" s="63">
        <f>($L39+SUM($W39:AA39))*(T$11*T39)</f>
        <v>-2912.0374524548406</v>
      </c>
      <c r="AC39" s="63">
        <f>($L39+SUM($W39:AB39))*(U$11*U39)</f>
        <v>0</v>
      </c>
      <c r="AD39" s="63">
        <f>($L39+SUM($W39:AC39))*(V$11*V39)</f>
        <v>0</v>
      </c>
      <c r="AE39" s="115">
        <f t="shared" si="38"/>
        <v>-9012.110033525554</v>
      </c>
    </row>
    <row r="40" spans="1:31" ht="12.75">
      <c r="A40" s="3">
        <v>9</v>
      </c>
      <c r="B40" s="15">
        <f t="shared" si="16"/>
        <v>41518</v>
      </c>
      <c r="C40" s="249">
        <f t="shared" si="24"/>
        <v>41550</v>
      </c>
      <c r="D40" s="249">
        <f t="shared" si="24"/>
        <v>41565</v>
      </c>
      <c r="E40" s="30" t="s">
        <v>147</v>
      </c>
      <c r="F40" s="3">
        <v>9</v>
      </c>
      <c r="G40" s="330">
        <v>3615.5</v>
      </c>
      <c r="H40" s="253">
        <f t="shared" si="36"/>
        <v>1586.22</v>
      </c>
      <c r="I40" s="253">
        <f t="shared" si="8"/>
        <v>1491.39</v>
      </c>
      <c r="J40" s="56">
        <f t="shared" si="9"/>
        <v>5392120.545</v>
      </c>
      <c r="K40" s="76">
        <f t="shared" si="32"/>
        <v>5734978.41</v>
      </c>
      <c r="L40" s="79">
        <f t="shared" si="34"/>
        <v>-342857.8650000002</v>
      </c>
      <c r="M40" s="77">
        <f t="shared" si="37"/>
        <v>-7874.592810800188</v>
      </c>
      <c r="N40" s="78">
        <f t="shared" si="35"/>
        <v>-350732.4578108004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75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11">
        <f t="shared" si="17"/>
        <v>0</v>
      </c>
      <c r="W40" s="146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-2289.6330025684947</v>
      </c>
      <c r="AA40" s="63">
        <f>($L40+SUM($W40:Z40))*(S$11*S40)</f>
        <v>-2765.908031938393</v>
      </c>
      <c r="AB40" s="63">
        <f>($L40+SUM($W40:AA40))*(T$11*T40)</f>
        <v>-2819.0517762933005</v>
      </c>
      <c r="AC40" s="63">
        <f>($L40+SUM($W40:AB40))*(U$11*U40)</f>
        <v>0</v>
      </c>
      <c r="AD40" s="63">
        <f>($L40+SUM($W40:AC40))*(V$11*V40)</f>
        <v>0</v>
      </c>
      <c r="AE40" s="115">
        <f t="shared" si="38"/>
        <v>-7874.592810800188</v>
      </c>
    </row>
    <row r="41" spans="1:31" ht="12.75">
      <c r="A41" s="16">
        <v>10</v>
      </c>
      <c r="B41" s="15">
        <f t="shared" si="16"/>
        <v>41548</v>
      </c>
      <c r="C41" s="249">
        <f t="shared" si="24"/>
        <v>41583</v>
      </c>
      <c r="D41" s="249">
        <f t="shared" si="24"/>
        <v>41598</v>
      </c>
      <c r="E41" s="30" t="s">
        <v>147</v>
      </c>
      <c r="F41" s="3">
        <v>9</v>
      </c>
      <c r="G41" s="330">
        <v>2986.5</v>
      </c>
      <c r="H41" s="253">
        <f t="shared" si="36"/>
        <v>1586.22</v>
      </c>
      <c r="I41" s="253">
        <f t="shared" si="8"/>
        <v>1491.39</v>
      </c>
      <c r="J41" s="56">
        <f t="shared" si="9"/>
        <v>4454036.235</v>
      </c>
      <c r="K41" s="76">
        <f t="shared" si="32"/>
        <v>4737246.03</v>
      </c>
      <c r="L41" s="79">
        <f t="shared" si="34"/>
        <v>-283209.7949999999</v>
      </c>
      <c r="M41" s="77">
        <f t="shared" si="37"/>
        <v>-5658.988009768514</v>
      </c>
      <c r="N41" s="78">
        <f t="shared" si="35"/>
        <v>-288868.78300976846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42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11">
        <f t="shared" si="17"/>
        <v>0</v>
      </c>
      <c r="W41" s="146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-1059.1270415753422</v>
      </c>
      <c r="AA41" s="63">
        <f>($L41+SUM($W41:Z41))*(S$11*S41)</f>
        <v>-2278.045471155089</v>
      </c>
      <c r="AB41" s="63">
        <f>($L41+SUM($W41:AA41))*(T$11*T41)</f>
        <v>-2321.815497038082</v>
      </c>
      <c r="AC41" s="63">
        <f>($L41+SUM($W41:AB41))*(U$11*U41)</f>
        <v>0</v>
      </c>
      <c r="AD41" s="63">
        <f>($L41+SUM($W41:AC41))*(V$11*V41)</f>
        <v>0</v>
      </c>
      <c r="AE41" s="115">
        <f t="shared" si="38"/>
        <v>-5658.988009768514</v>
      </c>
    </row>
    <row r="42" spans="1:31" ht="12.75">
      <c r="A42" s="3">
        <v>11</v>
      </c>
      <c r="B42" s="15">
        <f t="shared" si="16"/>
        <v>41579</v>
      </c>
      <c r="C42" s="249">
        <f t="shared" si="24"/>
        <v>41612</v>
      </c>
      <c r="D42" s="249">
        <f t="shared" si="24"/>
        <v>41627</v>
      </c>
      <c r="E42" s="30" t="s">
        <v>147</v>
      </c>
      <c r="F42" s="3">
        <v>9</v>
      </c>
      <c r="G42" s="330">
        <v>2751.5</v>
      </c>
      <c r="H42" s="253">
        <f t="shared" si="36"/>
        <v>1586.22</v>
      </c>
      <c r="I42" s="253">
        <f t="shared" si="8"/>
        <v>1491.39</v>
      </c>
      <c r="J42" s="56">
        <f t="shared" si="9"/>
        <v>4103559.5850000004</v>
      </c>
      <c r="K42" s="76">
        <f t="shared" si="32"/>
        <v>4364484.33</v>
      </c>
      <c r="L42" s="79">
        <f t="shared" si="34"/>
        <v>-260924.74499999965</v>
      </c>
      <c r="M42" s="77">
        <f t="shared" si="37"/>
        <v>-4529.0367492905625</v>
      </c>
      <c r="N42" s="78">
        <f t="shared" si="35"/>
        <v>-265453.7817492902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13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11">
        <f t="shared" si="17"/>
        <v>0</v>
      </c>
      <c r="W42" s="146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-302.0293281164379</v>
      </c>
      <c r="AA42" s="63">
        <f>($L42+SUM($W42:Z42))*(S$11*S42)</f>
        <v>-2093.3926435883272</v>
      </c>
      <c r="AB42" s="63">
        <f>($L42+SUM($W42:AA42))*(T$11*T42)</f>
        <v>-2133.6147775857967</v>
      </c>
      <c r="AC42" s="63">
        <f>($L42+SUM($W42:AB42))*(U$11*U42)</f>
        <v>0</v>
      </c>
      <c r="AD42" s="63">
        <f>($L42+SUM($W42:AC42))*(V$11*V42)</f>
        <v>0</v>
      </c>
      <c r="AE42" s="115">
        <f t="shared" si="38"/>
        <v>-4529.0367492905625</v>
      </c>
    </row>
    <row r="43" spans="1:31" ht="12.75">
      <c r="A43" s="3">
        <v>12</v>
      </c>
      <c r="B43" s="15">
        <f t="shared" si="16"/>
        <v>41609</v>
      </c>
      <c r="C43" s="249">
        <f t="shared" si="24"/>
        <v>41280</v>
      </c>
      <c r="D43" s="249">
        <f t="shared" si="24"/>
        <v>41295</v>
      </c>
      <c r="E43" s="30" t="s">
        <v>147</v>
      </c>
      <c r="F43" s="3">
        <v>9</v>
      </c>
      <c r="G43" s="343">
        <v>3000.5</v>
      </c>
      <c r="H43" s="254">
        <f t="shared" si="36"/>
        <v>1586.22</v>
      </c>
      <c r="I43" s="254">
        <f t="shared" si="8"/>
        <v>1491.39</v>
      </c>
      <c r="J43" s="90">
        <f t="shared" si="9"/>
        <v>4474915.695</v>
      </c>
      <c r="K43" s="91">
        <f t="shared" si="32"/>
        <v>4759453.11</v>
      </c>
      <c r="L43" s="92">
        <f t="shared" si="34"/>
        <v>-284537.41500000004</v>
      </c>
      <c r="M43" s="93">
        <f t="shared" si="37"/>
        <v>-13588.832662814784</v>
      </c>
      <c r="N43" s="94">
        <f t="shared" si="35"/>
        <v>-298126.2476628148</v>
      </c>
      <c r="O43" s="16">
        <f t="shared" si="26"/>
        <v>70</v>
      </c>
      <c r="P43" s="16">
        <f t="shared" si="27"/>
        <v>91</v>
      </c>
      <c r="Q43" s="16">
        <f t="shared" si="28"/>
        <v>92</v>
      </c>
      <c r="R43" s="16">
        <f t="shared" si="29"/>
        <v>92</v>
      </c>
      <c r="S43" s="16">
        <f t="shared" si="29"/>
        <v>90</v>
      </c>
      <c r="T43" s="16">
        <f t="shared" si="29"/>
        <v>91</v>
      </c>
      <c r="U43" s="16">
        <f t="shared" si="29"/>
        <v>0</v>
      </c>
      <c r="V43" s="111">
        <f t="shared" si="17"/>
        <v>0</v>
      </c>
      <c r="W43" s="146">
        <f t="shared" si="31"/>
        <v>-1773.4866277397264</v>
      </c>
      <c r="X43" s="63">
        <f>($L43+SUM($W43:W43))*(P$11*P43)</f>
        <v>-2319.9027166138094</v>
      </c>
      <c r="Y43" s="63">
        <f>($L43+SUM($W43:X43))*(Q$11*Q43)</f>
        <v>-2364.400287642786</v>
      </c>
      <c r="Z43" s="63">
        <f>($L43+SUM($W43:Y43))*(R$11*R43)</f>
        <v>-2383.7689365744354</v>
      </c>
      <c r="AA43" s="63">
        <f>($L43+SUM($W43:Z43))*(S$11*S43)</f>
        <v>-2351.0506785974508</v>
      </c>
      <c r="AB43" s="63">
        <f>($L43+SUM($W43:AA43))*(T$11*T43)</f>
        <v>-2396.2234156465756</v>
      </c>
      <c r="AC43" s="63">
        <f>($L43+SUM($W43:AB43))*(U$11*U43)</f>
        <v>0</v>
      </c>
      <c r="AD43" s="63">
        <f>($L43+SUM($W43:AC43))*(V$11*V43)</f>
        <v>0</v>
      </c>
      <c r="AE43" s="115">
        <f t="shared" si="38"/>
        <v>-13588.832662814784</v>
      </c>
    </row>
    <row r="44" spans="1:31" s="161" customFormat="1" ht="12.75">
      <c r="A44" s="16">
        <v>1</v>
      </c>
      <c r="B44" s="158">
        <f t="shared" si="16"/>
        <v>41275</v>
      </c>
      <c r="C44" s="248">
        <f t="shared" si="24"/>
        <v>41310</v>
      </c>
      <c r="D44" s="248">
        <f t="shared" si="24"/>
        <v>41325</v>
      </c>
      <c r="E44" s="159" t="s">
        <v>137</v>
      </c>
      <c r="F44" s="160">
        <v>9</v>
      </c>
      <c r="G44" s="73">
        <v>633</v>
      </c>
      <c r="H44" s="253">
        <f aca="true" t="shared" si="39" ref="H44:H49">$K$3</f>
        <v>1446.51</v>
      </c>
      <c r="I44" s="253">
        <f t="shared" si="8"/>
        <v>1491.39</v>
      </c>
      <c r="J44" s="56">
        <f t="shared" si="9"/>
        <v>944049.8700000001</v>
      </c>
      <c r="K44" s="57">
        <f t="shared" si="32"/>
        <v>915640.83</v>
      </c>
      <c r="L44" s="58">
        <f t="shared" si="34"/>
        <v>28409.040000000154</v>
      </c>
      <c r="M44" s="55">
        <f t="shared" si="37"/>
        <v>1277.729590595481</v>
      </c>
      <c r="N44" s="29">
        <f t="shared" si="35"/>
        <v>29686.769590595635</v>
      </c>
      <c r="O44" s="160">
        <f t="shared" si="26"/>
        <v>40</v>
      </c>
      <c r="P44" s="160">
        <f t="shared" si="27"/>
        <v>91</v>
      </c>
      <c r="Q44" s="160">
        <f t="shared" si="28"/>
        <v>92</v>
      </c>
      <c r="R44" s="160">
        <f t="shared" si="29"/>
        <v>92</v>
      </c>
      <c r="S44" s="160">
        <f t="shared" si="29"/>
        <v>90</v>
      </c>
      <c r="T44" s="160">
        <f t="shared" si="29"/>
        <v>91</v>
      </c>
      <c r="U44" s="160">
        <f t="shared" si="29"/>
        <v>0</v>
      </c>
      <c r="V44" s="162">
        <f>IF(W$8&lt;V$8,0,IF($D44&lt;V$8,V$12,IF($D44&lt;W$8,W$8-$D44,0)))</f>
        <v>0</v>
      </c>
      <c r="W44" s="163">
        <f>$L44*O$11*O44</f>
        <v>101.18288219178137</v>
      </c>
      <c r="X44" s="164">
        <f>($L44+SUM($W44:W44))*(P$11*P44)</f>
        <v>231.0109155454319</v>
      </c>
      <c r="Y44" s="164">
        <f>($L44+SUM($W44:X44))*(Q$11*Q44)</f>
        <v>235.4418878225609</v>
      </c>
      <c r="Z44" s="164">
        <f>($L44+SUM($W44:Y44))*(R$11*R44)</f>
        <v>237.37057616390183</v>
      </c>
      <c r="AA44" s="164">
        <f>($L44+SUM($W44:Z44))*(S$11*S44)</f>
        <v>234.11256250833478</v>
      </c>
      <c r="AB44" s="164">
        <f>($L44+SUM($W44:AA44))*(T$11*T44)</f>
        <v>238.6107663634702</v>
      </c>
      <c r="AC44" s="164">
        <f>($L44+SUM($W44:AB44))*(U$11*U44)</f>
        <v>0</v>
      </c>
      <c r="AD44" s="164">
        <f>($L44+SUM($W44:AC44))*(V$11*V44)</f>
        <v>0</v>
      </c>
      <c r="AE44" s="114">
        <f aca="true" t="shared" si="40" ref="AE44:AE49">SUM(W44:AD44)</f>
        <v>1277.729590595481</v>
      </c>
    </row>
    <row r="45" spans="1:31" ht="12.75">
      <c r="A45" s="3">
        <v>2</v>
      </c>
      <c r="B45" s="15">
        <f t="shared" si="16"/>
        <v>41306</v>
      </c>
      <c r="C45" s="249">
        <f t="shared" si="24"/>
        <v>41338</v>
      </c>
      <c r="D45" s="249">
        <f t="shared" si="24"/>
        <v>41353</v>
      </c>
      <c r="E45" s="71" t="s">
        <v>137</v>
      </c>
      <c r="F45" s="3">
        <v>9</v>
      </c>
      <c r="G45" s="73">
        <v>615</v>
      </c>
      <c r="H45" s="253">
        <f t="shared" si="39"/>
        <v>1446.51</v>
      </c>
      <c r="I45" s="253">
        <f t="shared" si="8"/>
        <v>1491.39</v>
      </c>
      <c r="J45" s="56">
        <f t="shared" si="9"/>
        <v>917204.8500000001</v>
      </c>
      <c r="K45" s="57">
        <f t="shared" si="32"/>
        <v>889603.65</v>
      </c>
      <c r="L45" s="58">
        <f t="shared" si="34"/>
        <v>27601.20000000007</v>
      </c>
      <c r="M45" s="55">
        <f t="shared" si="37"/>
        <v>1169.7423147198215</v>
      </c>
      <c r="N45" s="29">
        <f t="shared" si="35"/>
        <v>28770.94231471989</v>
      </c>
      <c r="O45" s="16">
        <f t="shared" si="26"/>
        <v>12</v>
      </c>
      <c r="P45" s="16">
        <f t="shared" si="27"/>
        <v>91</v>
      </c>
      <c r="Q45" s="16">
        <f t="shared" si="28"/>
        <v>92</v>
      </c>
      <c r="R45" s="16">
        <f t="shared" si="29"/>
        <v>92</v>
      </c>
      <c r="S45" s="16">
        <f t="shared" si="29"/>
        <v>90</v>
      </c>
      <c r="T45" s="16">
        <f t="shared" si="29"/>
        <v>91</v>
      </c>
      <c r="U45" s="16">
        <f t="shared" si="29"/>
        <v>0</v>
      </c>
      <c r="V45" s="111">
        <f t="shared" si="17"/>
        <v>0</v>
      </c>
      <c r="W45" s="146">
        <f aca="true" t="shared" si="41" ref="W45:W55">$L45*O$11*O45</f>
        <v>29.491693150685006</v>
      </c>
      <c r="X45" s="63">
        <f>($L45+SUM($W45:W45))*(P$11*P45)</f>
        <v>223.88430323970783</v>
      </c>
      <c r="Y45" s="63">
        <f>($L45+SUM($W45:X45))*(Q$11*Q45)</f>
        <v>228.1785814498835</v>
      </c>
      <c r="Z45" s="63">
        <f>($L45+SUM($W45:Y45))*(R$11*R45)</f>
        <v>230.04777037737708</v>
      </c>
      <c r="AA45" s="63">
        <f>($L45+SUM($W45:Z45))*(S$11*S45)</f>
        <v>226.8902653932516</v>
      </c>
      <c r="AB45" s="63">
        <f>($L45+SUM($W45:AA45))*(T$11*T45)</f>
        <v>231.24970110891633</v>
      </c>
      <c r="AC45" s="63">
        <f>($L45+SUM($W45:AB45))*(U$11*U45)</f>
        <v>0</v>
      </c>
      <c r="AD45" s="63">
        <f>($L45+SUM($W45:AC45))*(V$11*V45)</f>
        <v>0</v>
      </c>
      <c r="AE45" s="115">
        <f t="shared" si="40"/>
        <v>1169.7423147198215</v>
      </c>
    </row>
    <row r="46" spans="1:31" ht="12.75">
      <c r="A46" s="3">
        <v>3</v>
      </c>
      <c r="B46" s="15">
        <f t="shared" si="16"/>
        <v>41334</v>
      </c>
      <c r="C46" s="249">
        <f t="shared" si="24"/>
        <v>41367</v>
      </c>
      <c r="D46" s="249">
        <f t="shared" si="24"/>
        <v>41382</v>
      </c>
      <c r="E46" s="71" t="s">
        <v>137</v>
      </c>
      <c r="F46" s="3">
        <v>9</v>
      </c>
      <c r="G46" s="73">
        <v>632</v>
      </c>
      <c r="H46" s="253">
        <f t="shared" si="39"/>
        <v>1446.51</v>
      </c>
      <c r="I46" s="253">
        <f t="shared" si="8"/>
        <v>1491.39</v>
      </c>
      <c r="J46" s="56">
        <f t="shared" si="9"/>
        <v>942558.4800000001</v>
      </c>
      <c r="K46" s="57">
        <f t="shared" si="32"/>
        <v>914194.32</v>
      </c>
      <c r="L46" s="58">
        <f>+J46-K46</f>
        <v>28364.16000000015</v>
      </c>
      <c r="M46" s="55">
        <f t="shared" si="37"/>
        <v>1126.171784004254</v>
      </c>
      <c r="N46" s="29">
        <f>SUM(L46:M46)</f>
        <v>29490.331784004404</v>
      </c>
      <c r="O46" s="16">
        <f aca="true" t="shared" si="42" ref="O46:U46">IF($D46&lt;O$8,O$12,IF($D46&lt;P$8,P$8-$D46,0))</f>
        <v>0</v>
      </c>
      <c r="P46" s="16">
        <f t="shared" si="42"/>
        <v>74</v>
      </c>
      <c r="Q46" s="16">
        <f t="shared" si="42"/>
        <v>92</v>
      </c>
      <c r="R46" s="16">
        <f t="shared" si="42"/>
        <v>92</v>
      </c>
      <c r="S46" s="16">
        <f t="shared" si="42"/>
        <v>90</v>
      </c>
      <c r="T46" s="16">
        <f t="shared" si="42"/>
        <v>91</v>
      </c>
      <c r="U46" s="16">
        <f t="shared" si="42"/>
        <v>0</v>
      </c>
      <c r="V46" s="111">
        <f>IF(W$8&lt;V$8,0,IF($D46&lt;V$8,V$12,IF($D46&lt;W$8,W$8-$D46,0)))</f>
        <v>0</v>
      </c>
      <c r="W46" s="146">
        <f>$L46*O$11*O46</f>
        <v>0</v>
      </c>
      <c r="X46" s="63">
        <f>($L46+SUM($W46:W46))*(P$11*P46)</f>
        <v>186.89261589041192</v>
      </c>
      <c r="Y46" s="63">
        <f>($L46+SUM($W46:X46))*(Q$11*Q46)</f>
        <v>233.88396526441852</v>
      </c>
      <c r="Z46" s="63">
        <f>($L46+SUM($W46:Y46))*(R$11*R46)</f>
        <v>235.7998914456257</v>
      </c>
      <c r="AA46" s="63">
        <f>($L46+SUM($W46:Z46))*(S$11*S46)</f>
        <v>232.56343611604592</v>
      </c>
      <c r="AB46" s="63">
        <f>($L46+SUM($W46:AA46))*(T$11*T46)</f>
        <v>237.03187528775203</v>
      </c>
      <c r="AC46" s="63">
        <f>($L46+SUM($W46:AB46))*(U$11*U46)</f>
        <v>0</v>
      </c>
      <c r="AD46" s="63">
        <f>($L46+SUM($W46:AC46))*(V$11*V46)</f>
        <v>0</v>
      </c>
      <c r="AE46" s="115">
        <f t="shared" si="40"/>
        <v>1126.171784004254</v>
      </c>
    </row>
    <row r="47" spans="1:31" ht="12.75">
      <c r="A47" s="16">
        <v>4</v>
      </c>
      <c r="B47" s="15">
        <f t="shared" si="16"/>
        <v>41365</v>
      </c>
      <c r="C47" s="249">
        <f t="shared" si="24"/>
        <v>41397</v>
      </c>
      <c r="D47" s="249">
        <f t="shared" si="24"/>
        <v>41414</v>
      </c>
      <c r="E47" s="71" t="s">
        <v>137</v>
      </c>
      <c r="F47" s="3">
        <v>9</v>
      </c>
      <c r="G47" s="73">
        <v>415</v>
      </c>
      <c r="H47" s="253">
        <f t="shared" si="39"/>
        <v>1446.51</v>
      </c>
      <c r="I47" s="253">
        <f t="shared" si="8"/>
        <v>1491.39</v>
      </c>
      <c r="J47" s="56">
        <f t="shared" si="9"/>
        <v>618926.8500000001</v>
      </c>
      <c r="K47" s="57">
        <f t="shared" si="32"/>
        <v>600301.65</v>
      </c>
      <c r="L47" s="58">
        <f aca="true" t="shared" si="43" ref="L47:L57">+J47-K47</f>
        <v>18625.20000000007</v>
      </c>
      <c r="M47" s="55">
        <f t="shared" si="37"/>
        <v>684.6807712085217</v>
      </c>
      <c r="N47" s="29">
        <f aca="true" t="shared" si="44" ref="N47:N57">SUM(L47:M47)</f>
        <v>19309.88077120859</v>
      </c>
      <c r="O47" s="16">
        <f t="shared" si="26"/>
        <v>0</v>
      </c>
      <c r="P47" s="16">
        <f t="shared" si="27"/>
        <v>42</v>
      </c>
      <c r="Q47" s="16">
        <f t="shared" si="28"/>
        <v>92</v>
      </c>
      <c r="R47" s="16">
        <f t="shared" si="29"/>
        <v>92</v>
      </c>
      <c r="S47" s="16">
        <f t="shared" si="29"/>
        <v>90</v>
      </c>
      <c r="T47" s="16">
        <f t="shared" si="29"/>
        <v>91</v>
      </c>
      <c r="U47" s="16">
        <f t="shared" si="29"/>
        <v>0</v>
      </c>
      <c r="V47" s="111">
        <f t="shared" si="17"/>
        <v>0</v>
      </c>
      <c r="W47" s="146">
        <f t="shared" si="41"/>
        <v>0</v>
      </c>
      <c r="X47" s="63">
        <f>($L47+SUM($W47:W47))*(P$11*P47)</f>
        <v>69.65314520547972</v>
      </c>
      <c r="Y47" s="63">
        <f>($L47+SUM($W47:X47))*(Q$11*Q47)</f>
        <v>153.14413946346463</v>
      </c>
      <c r="Z47" s="63">
        <f>($L47+SUM($W47:Y47))*(R$11*R47)</f>
        <v>154.39866268811053</v>
      </c>
      <c r="AA47" s="63">
        <f>($L47+SUM($W47:Z47))*(S$11*S47)</f>
        <v>152.27947437265638</v>
      </c>
      <c r="AB47" s="63">
        <f>($L47+SUM($W47:AA47))*(T$11*T47)</f>
        <v>155.2053494788105</v>
      </c>
      <c r="AC47" s="63">
        <f>($L47+SUM($W47:AB47))*(U$11*U47)</f>
        <v>0</v>
      </c>
      <c r="AD47" s="63">
        <f>($L47+SUM($W47:AC47))*(V$11*V47)</f>
        <v>0</v>
      </c>
      <c r="AE47" s="115">
        <f t="shared" si="40"/>
        <v>684.6807712085217</v>
      </c>
    </row>
    <row r="48" spans="1:31" ht="12.75">
      <c r="A48" s="3">
        <v>5</v>
      </c>
      <c r="B48" s="15">
        <f t="shared" si="16"/>
        <v>41395</v>
      </c>
      <c r="C48" s="249">
        <f t="shared" si="24"/>
        <v>41430</v>
      </c>
      <c r="D48" s="249">
        <f t="shared" si="24"/>
        <v>41445</v>
      </c>
      <c r="E48" s="30" t="s">
        <v>137</v>
      </c>
      <c r="F48" s="3">
        <v>9</v>
      </c>
      <c r="G48" s="73">
        <v>570</v>
      </c>
      <c r="H48" s="253">
        <f t="shared" si="39"/>
        <v>1446.51</v>
      </c>
      <c r="I48" s="253">
        <f t="shared" si="8"/>
        <v>1491.39</v>
      </c>
      <c r="J48" s="56">
        <f t="shared" si="9"/>
        <v>850092.3</v>
      </c>
      <c r="K48" s="57">
        <f t="shared" si="32"/>
        <v>824510.7</v>
      </c>
      <c r="L48" s="58">
        <f t="shared" si="43"/>
        <v>25581.600000000093</v>
      </c>
      <c r="M48" s="55">
        <f t="shared" si="37"/>
        <v>867.4696726277215</v>
      </c>
      <c r="N48" s="29">
        <f t="shared" si="44"/>
        <v>26449.069672627815</v>
      </c>
      <c r="O48" s="16">
        <f t="shared" si="26"/>
        <v>0</v>
      </c>
      <c r="P48" s="16">
        <f t="shared" si="27"/>
        <v>11</v>
      </c>
      <c r="Q48" s="16">
        <f t="shared" si="28"/>
        <v>92</v>
      </c>
      <c r="R48" s="16">
        <f aca="true" t="shared" si="45" ref="R48:U62">IF($D48&lt;R$8,R$12,IF($D48&lt;S$8,S$8-$D48,0))</f>
        <v>92</v>
      </c>
      <c r="S48" s="16">
        <f t="shared" si="45"/>
        <v>90</v>
      </c>
      <c r="T48" s="16">
        <f t="shared" si="45"/>
        <v>91</v>
      </c>
      <c r="U48" s="16">
        <f t="shared" si="45"/>
        <v>0</v>
      </c>
      <c r="V48" s="111">
        <f t="shared" si="17"/>
        <v>0</v>
      </c>
      <c r="W48" s="146">
        <f t="shared" si="41"/>
        <v>0</v>
      </c>
      <c r="X48" s="63">
        <f>($L48+SUM($W48:W48))*(P$11*P48)</f>
        <v>25.055950684931595</v>
      </c>
      <c r="Y48" s="63">
        <f>($L48+SUM($W48:X48))*(Q$11*Q48)</f>
        <v>209.7641131302691</v>
      </c>
      <c r="Z48" s="63">
        <f>($L48+SUM($W48:Y48))*(R$11*R48)</f>
        <v>211.48245476933621</v>
      </c>
      <c r="AA48" s="63">
        <f>($L48+SUM($W48:Z48))*(S$11*S48)</f>
        <v>208.57976675852063</v>
      </c>
      <c r="AB48" s="63">
        <f>($L48+SUM($W48:AA48))*(T$11*T48)</f>
        <v>212.58738728466403</v>
      </c>
      <c r="AC48" s="63">
        <f>($L48+SUM($W48:AB48))*(U$11*U48)</f>
        <v>0</v>
      </c>
      <c r="AD48" s="63">
        <f>($L48+SUM($W48:AC48))*(V$11*V48)</f>
        <v>0</v>
      </c>
      <c r="AE48" s="115">
        <f t="shared" si="40"/>
        <v>867.4696726277215</v>
      </c>
    </row>
    <row r="49" spans="1:31" ht="12.75">
      <c r="A49" s="3">
        <v>6</v>
      </c>
      <c r="B49" s="15">
        <f t="shared" si="16"/>
        <v>41426</v>
      </c>
      <c r="C49" s="249">
        <f t="shared" si="24"/>
        <v>41460</v>
      </c>
      <c r="D49" s="249">
        <f t="shared" si="24"/>
        <v>41477</v>
      </c>
      <c r="E49" s="30" t="s">
        <v>137</v>
      </c>
      <c r="F49" s="3">
        <v>9</v>
      </c>
      <c r="G49" s="73">
        <v>742</v>
      </c>
      <c r="H49" s="253">
        <f t="shared" si="39"/>
        <v>1446.51</v>
      </c>
      <c r="I49" s="253">
        <f t="shared" si="8"/>
        <v>1491.39</v>
      </c>
      <c r="J49" s="56">
        <f t="shared" si="9"/>
        <v>1106611.3800000001</v>
      </c>
      <c r="K49" s="57">
        <f t="shared" si="32"/>
        <v>1073310.42</v>
      </c>
      <c r="L49" s="79">
        <f t="shared" si="43"/>
        <v>33300.960000000196</v>
      </c>
      <c r="M49" s="80">
        <f t="shared" si="37"/>
        <v>1031.7485652949708</v>
      </c>
      <c r="N49" s="78">
        <f t="shared" si="44"/>
        <v>34332.708565295165</v>
      </c>
      <c r="O49" s="16">
        <f t="shared" si="26"/>
        <v>0</v>
      </c>
      <c r="P49" s="16">
        <f t="shared" si="27"/>
        <v>0</v>
      </c>
      <c r="Q49" s="16">
        <f t="shared" si="28"/>
        <v>71</v>
      </c>
      <c r="R49" s="16">
        <f t="shared" si="45"/>
        <v>92</v>
      </c>
      <c r="S49" s="16">
        <f t="shared" si="45"/>
        <v>90</v>
      </c>
      <c r="T49" s="16">
        <f t="shared" si="45"/>
        <v>91</v>
      </c>
      <c r="U49" s="16">
        <f t="shared" si="45"/>
        <v>0</v>
      </c>
      <c r="V49" s="111">
        <f t="shared" si="17"/>
        <v>0</v>
      </c>
      <c r="W49" s="146">
        <f t="shared" si="41"/>
        <v>0</v>
      </c>
      <c r="X49" s="63">
        <f>($L49+SUM($W49:W49))*(P$11*P49)</f>
        <v>0</v>
      </c>
      <c r="Y49" s="63">
        <f>($L49+SUM($W49:X49))*(Q$11*Q49)</f>
        <v>210.52593205479576</v>
      </c>
      <c r="Z49" s="63">
        <f>($L49+SUM($W49:Y49))*(R$11*R49)</f>
        <v>274.5187477721765</v>
      </c>
      <c r="AA49" s="63">
        <f>($L49+SUM($W49:Z49))*(S$11*S49)</f>
        <v>270.7508594205327</v>
      </c>
      <c r="AB49" s="63">
        <f>($L49+SUM($W49:AA49))*(T$11*T49)</f>
        <v>275.953026047466</v>
      </c>
      <c r="AC49" s="63">
        <f>($L49+SUM($W49:AB49))*(U$11*U49)</f>
        <v>0</v>
      </c>
      <c r="AD49" s="63">
        <f>($L49+SUM($W49:AC49))*(V$11*V49)</f>
        <v>0</v>
      </c>
      <c r="AE49" s="115">
        <f t="shared" si="40"/>
        <v>1031.7485652949708</v>
      </c>
    </row>
    <row r="50" spans="1:31" ht="12.75">
      <c r="A50" s="16">
        <v>7</v>
      </c>
      <c r="B50" s="15">
        <f t="shared" si="16"/>
        <v>41456</v>
      </c>
      <c r="C50" s="249">
        <f t="shared" si="24"/>
        <v>41491</v>
      </c>
      <c r="D50" s="249">
        <f t="shared" si="24"/>
        <v>41506</v>
      </c>
      <c r="E50" s="30" t="s">
        <v>137</v>
      </c>
      <c r="F50" s="3">
        <v>9</v>
      </c>
      <c r="G50" s="73">
        <v>815</v>
      </c>
      <c r="H50" s="253">
        <f aca="true" t="shared" si="46" ref="H50:H55">$K$8</f>
        <v>1586.22</v>
      </c>
      <c r="I50" s="253">
        <f t="shared" si="8"/>
        <v>1491.39</v>
      </c>
      <c r="J50" s="56">
        <f t="shared" si="9"/>
        <v>1215482.85</v>
      </c>
      <c r="K50" s="76">
        <f t="shared" si="32"/>
        <v>1292769.3</v>
      </c>
      <c r="L50" s="79">
        <f t="shared" si="43"/>
        <v>-77286.44999999995</v>
      </c>
      <c r="M50" s="77">
        <f t="shared" si="37"/>
        <v>-2190.072084272598</v>
      </c>
      <c r="N50" s="78">
        <f t="shared" si="44"/>
        <v>-79476.52208427255</v>
      </c>
      <c r="O50" s="16">
        <f t="shared" si="26"/>
        <v>0</v>
      </c>
      <c r="P50" s="16">
        <f t="shared" si="27"/>
        <v>0</v>
      </c>
      <c r="Q50" s="16">
        <f t="shared" si="28"/>
        <v>42</v>
      </c>
      <c r="R50" s="16">
        <f t="shared" si="45"/>
        <v>92</v>
      </c>
      <c r="S50" s="16">
        <f t="shared" si="45"/>
        <v>90</v>
      </c>
      <c r="T50" s="16">
        <f t="shared" si="45"/>
        <v>91</v>
      </c>
      <c r="U50" s="16">
        <f t="shared" si="45"/>
        <v>0</v>
      </c>
      <c r="V50" s="111">
        <f t="shared" si="17"/>
        <v>0</v>
      </c>
      <c r="W50" s="146">
        <f t="shared" si="41"/>
        <v>0</v>
      </c>
      <c r="X50" s="63">
        <f>($L50+SUM($W50:W50))*(P$11*P50)</f>
        <v>0</v>
      </c>
      <c r="Y50" s="63">
        <f>($L50+SUM($W50:X50))*(Q$11*Q50)</f>
        <v>-289.0301486301368</v>
      </c>
      <c r="Z50" s="63">
        <f>($L50+SUM($W50:Y50))*(R$11*R50)</f>
        <v>-635.4813305326135</v>
      </c>
      <c r="AA50" s="63">
        <f>($L50+SUM($W50:Z50))*(S$11*S50)</f>
        <v>-626.7590748672627</v>
      </c>
      <c r="AB50" s="63">
        <f>($L50+SUM($W50:AA50))*(T$11*T50)</f>
        <v>-638.8015302425853</v>
      </c>
      <c r="AC50" s="63">
        <f>($L50+SUM($W50:AB50))*(U$11*U50)</f>
        <v>0</v>
      </c>
      <c r="AD50" s="63">
        <f>($L50+SUM($W50:AC50))*(V$11*V50)</f>
        <v>0</v>
      </c>
      <c r="AE50" s="115">
        <f aca="true" t="shared" si="47" ref="AE50:AE55">SUM(W50:AD50)</f>
        <v>-2190.072084272598</v>
      </c>
    </row>
    <row r="51" spans="1:31" ht="12.75">
      <c r="A51" s="3">
        <v>8</v>
      </c>
      <c r="B51" s="15">
        <f t="shared" si="16"/>
        <v>41487</v>
      </c>
      <c r="C51" s="249">
        <f t="shared" si="24"/>
        <v>41522</v>
      </c>
      <c r="D51" s="249">
        <f t="shared" si="24"/>
        <v>41537</v>
      </c>
      <c r="E51" s="30" t="s">
        <v>137</v>
      </c>
      <c r="F51" s="3">
        <v>9</v>
      </c>
      <c r="G51" s="73">
        <v>763</v>
      </c>
      <c r="H51" s="253">
        <f t="shared" si="46"/>
        <v>1586.22</v>
      </c>
      <c r="I51" s="253">
        <f t="shared" si="8"/>
        <v>1491.39</v>
      </c>
      <c r="J51" s="56">
        <f t="shared" si="9"/>
        <v>1137930.57</v>
      </c>
      <c r="K51" s="76">
        <f t="shared" si="32"/>
        <v>1210285.86</v>
      </c>
      <c r="L51" s="79">
        <f t="shared" si="43"/>
        <v>-72355.29000000004</v>
      </c>
      <c r="M51" s="77">
        <f t="shared" si="37"/>
        <v>-1845.7227098590793</v>
      </c>
      <c r="N51" s="78">
        <f t="shared" si="44"/>
        <v>-74201.01270985912</v>
      </c>
      <c r="O51" s="16">
        <f t="shared" si="26"/>
        <v>0</v>
      </c>
      <c r="P51" s="16">
        <f t="shared" si="27"/>
        <v>0</v>
      </c>
      <c r="Q51" s="16">
        <f t="shared" si="28"/>
        <v>11</v>
      </c>
      <c r="R51" s="16">
        <f t="shared" si="45"/>
        <v>92</v>
      </c>
      <c r="S51" s="16">
        <f t="shared" si="45"/>
        <v>90</v>
      </c>
      <c r="T51" s="16">
        <f t="shared" si="45"/>
        <v>91</v>
      </c>
      <c r="U51" s="16">
        <f t="shared" si="45"/>
        <v>0</v>
      </c>
      <c r="V51" s="111">
        <f t="shared" si="17"/>
        <v>0</v>
      </c>
      <c r="W51" s="146">
        <f t="shared" si="41"/>
        <v>0</v>
      </c>
      <c r="X51" s="63">
        <f>($L51+SUM($W51:W51))*(P$11*P51)</f>
        <v>0</v>
      </c>
      <c r="Y51" s="63">
        <f>($L51+SUM($W51:X51))*(Q$11*Q51)</f>
        <v>-70.86853746575346</v>
      </c>
      <c r="Z51" s="63">
        <f>($L51+SUM($W51:Y51))*(R$11*R51)</f>
        <v>-593.2992165123909</v>
      </c>
      <c r="AA51" s="63">
        <f>($L51+SUM($W51:Z51))*(S$11*S51)</f>
        <v>-585.1559285764004</v>
      </c>
      <c r="AB51" s="63">
        <f>($L51+SUM($W51:AA51))*(T$11*T51)</f>
        <v>-596.3990273045348</v>
      </c>
      <c r="AC51" s="63">
        <f>($L51+SUM($W51:AB51))*(U$11*U51)</f>
        <v>0</v>
      </c>
      <c r="AD51" s="63">
        <f>($L51+SUM($W51:AC51))*(V$11*V51)</f>
        <v>0</v>
      </c>
      <c r="AE51" s="115">
        <f t="shared" si="47"/>
        <v>-1845.7227098590793</v>
      </c>
    </row>
    <row r="52" spans="1:31" ht="12.75">
      <c r="A52" s="3">
        <v>9</v>
      </c>
      <c r="B52" s="15">
        <f t="shared" si="16"/>
        <v>41518</v>
      </c>
      <c r="C52" s="249">
        <f aca="true" t="shared" si="48" ref="C52:D71">+C40</f>
        <v>41550</v>
      </c>
      <c r="D52" s="249">
        <f t="shared" si="48"/>
        <v>41565</v>
      </c>
      <c r="E52" s="30" t="s">
        <v>137</v>
      </c>
      <c r="F52" s="3">
        <v>9</v>
      </c>
      <c r="G52" s="73">
        <v>693</v>
      </c>
      <c r="H52" s="253">
        <f t="shared" si="46"/>
        <v>1586.22</v>
      </c>
      <c r="I52" s="253">
        <f aca="true" t="shared" si="49" ref="I52:I83">$J$3</f>
        <v>1491.39</v>
      </c>
      <c r="J52" s="56">
        <f t="shared" si="9"/>
        <v>1033533.27</v>
      </c>
      <c r="K52" s="76">
        <f t="shared" si="32"/>
        <v>1099250.46</v>
      </c>
      <c r="L52" s="79">
        <f t="shared" si="43"/>
        <v>-65717.18999999994</v>
      </c>
      <c r="M52" s="77">
        <f t="shared" si="37"/>
        <v>-1509.3604806761227</v>
      </c>
      <c r="N52" s="78">
        <f t="shared" si="44"/>
        <v>-67226.55048067607</v>
      </c>
      <c r="O52" s="16">
        <f t="shared" si="26"/>
        <v>0</v>
      </c>
      <c r="P52" s="16">
        <f t="shared" si="27"/>
        <v>0</v>
      </c>
      <c r="Q52" s="16">
        <f t="shared" si="28"/>
        <v>0</v>
      </c>
      <c r="R52" s="16">
        <f t="shared" si="45"/>
        <v>75</v>
      </c>
      <c r="S52" s="16">
        <f t="shared" si="45"/>
        <v>90</v>
      </c>
      <c r="T52" s="16">
        <f t="shared" si="45"/>
        <v>91</v>
      </c>
      <c r="U52" s="16">
        <f t="shared" si="45"/>
        <v>0</v>
      </c>
      <c r="V52" s="111">
        <f t="shared" si="17"/>
        <v>0</v>
      </c>
      <c r="W52" s="146">
        <f t="shared" si="41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-438.86479623287636</v>
      </c>
      <c r="AA52" s="63">
        <f>($L52+SUM($W52:Z52))*(S$11*S52)</f>
        <v>-530.1546856958383</v>
      </c>
      <c r="AB52" s="63">
        <f>($L52+SUM($W52:AA52))*(T$11*T52)</f>
        <v>-540.3409987474082</v>
      </c>
      <c r="AC52" s="63">
        <f>($L52+SUM($W52:AB52))*(U$11*U52)</f>
        <v>0</v>
      </c>
      <c r="AD52" s="63">
        <f>($L52+SUM($W52:AC52))*(V$11*V52)</f>
        <v>0</v>
      </c>
      <c r="AE52" s="115">
        <f t="shared" si="47"/>
        <v>-1509.3604806761227</v>
      </c>
    </row>
    <row r="53" spans="1:31" ht="12.75">
      <c r="A53" s="16">
        <v>10</v>
      </c>
      <c r="B53" s="15">
        <f t="shared" si="16"/>
        <v>41548</v>
      </c>
      <c r="C53" s="249">
        <f t="shared" si="48"/>
        <v>41583</v>
      </c>
      <c r="D53" s="249">
        <f t="shared" si="48"/>
        <v>41598</v>
      </c>
      <c r="E53" s="30" t="s">
        <v>137</v>
      </c>
      <c r="F53" s="3">
        <v>9</v>
      </c>
      <c r="G53" s="73">
        <v>568</v>
      </c>
      <c r="H53" s="253">
        <f t="shared" si="46"/>
        <v>1586.22</v>
      </c>
      <c r="I53" s="253">
        <f t="shared" si="49"/>
        <v>1491.39</v>
      </c>
      <c r="J53" s="56">
        <f t="shared" si="9"/>
        <v>847109.52</v>
      </c>
      <c r="K53" s="76">
        <f t="shared" si="32"/>
        <v>900972.96</v>
      </c>
      <c r="L53" s="79">
        <f t="shared" si="43"/>
        <v>-53863.439999999944</v>
      </c>
      <c r="M53" s="77">
        <f t="shared" si="37"/>
        <v>-1076.2783156030514</v>
      </c>
      <c r="N53" s="78">
        <f t="shared" si="44"/>
        <v>-54939.71831560299</v>
      </c>
      <c r="O53" s="16">
        <f t="shared" si="26"/>
        <v>0</v>
      </c>
      <c r="P53" s="16">
        <f t="shared" si="27"/>
        <v>0</v>
      </c>
      <c r="Q53" s="16">
        <f t="shared" si="28"/>
        <v>0</v>
      </c>
      <c r="R53" s="16">
        <f t="shared" si="45"/>
        <v>42</v>
      </c>
      <c r="S53" s="16">
        <f t="shared" si="45"/>
        <v>90</v>
      </c>
      <c r="T53" s="16">
        <f t="shared" si="45"/>
        <v>91</v>
      </c>
      <c r="U53" s="16">
        <f t="shared" si="45"/>
        <v>0</v>
      </c>
      <c r="V53" s="111">
        <f t="shared" si="17"/>
        <v>0</v>
      </c>
      <c r="W53" s="146">
        <f t="shared" si="41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-201.43450849315047</v>
      </c>
      <c r="AA53" s="63">
        <f>($L53+SUM($W53:Z53))*(S$11*S53)</f>
        <v>-433.2596107872391</v>
      </c>
      <c r="AB53" s="63">
        <f>($L53+SUM($W53:AA53))*(T$11*T53)</f>
        <v>-441.58419632266185</v>
      </c>
      <c r="AC53" s="63">
        <f>($L53+SUM($W53:AB53))*(U$11*U53)</f>
        <v>0</v>
      </c>
      <c r="AD53" s="63">
        <f>($L53+SUM($W53:AC53))*(V$11*V53)</f>
        <v>0</v>
      </c>
      <c r="AE53" s="115">
        <f t="shared" si="47"/>
        <v>-1076.2783156030514</v>
      </c>
    </row>
    <row r="54" spans="1:31" ht="12.75">
      <c r="A54" s="3">
        <v>11</v>
      </c>
      <c r="B54" s="15">
        <f t="shared" si="16"/>
        <v>41579</v>
      </c>
      <c r="C54" s="249">
        <f t="shared" si="48"/>
        <v>41612</v>
      </c>
      <c r="D54" s="249">
        <f t="shared" si="48"/>
        <v>41627</v>
      </c>
      <c r="E54" s="30" t="s">
        <v>137</v>
      </c>
      <c r="F54" s="3">
        <v>9</v>
      </c>
      <c r="G54" s="73">
        <v>615</v>
      </c>
      <c r="H54" s="253">
        <f t="shared" si="46"/>
        <v>1586.22</v>
      </c>
      <c r="I54" s="253">
        <f t="shared" si="49"/>
        <v>1491.39</v>
      </c>
      <c r="J54" s="56">
        <f t="shared" si="9"/>
        <v>917204.8500000001</v>
      </c>
      <c r="K54" s="76">
        <f t="shared" si="32"/>
        <v>975525.3</v>
      </c>
      <c r="L54" s="79">
        <f t="shared" si="43"/>
        <v>-58320.44999999995</v>
      </c>
      <c r="M54" s="77">
        <f t="shared" si="37"/>
        <v>-1012.3051429451925</v>
      </c>
      <c r="N54" s="78">
        <f t="shared" si="44"/>
        <v>-59332.75514294515</v>
      </c>
      <c r="O54" s="16">
        <f t="shared" si="26"/>
        <v>0</v>
      </c>
      <c r="P54" s="16">
        <f t="shared" si="27"/>
        <v>0</v>
      </c>
      <c r="Q54" s="16">
        <f t="shared" si="28"/>
        <v>0</v>
      </c>
      <c r="R54" s="16">
        <f t="shared" si="45"/>
        <v>13</v>
      </c>
      <c r="S54" s="16">
        <f t="shared" si="45"/>
        <v>90</v>
      </c>
      <c r="T54" s="16">
        <f t="shared" si="45"/>
        <v>91</v>
      </c>
      <c r="U54" s="16">
        <f t="shared" si="45"/>
        <v>0</v>
      </c>
      <c r="V54" s="111">
        <f t="shared" si="17"/>
        <v>0</v>
      </c>
      <c r="W54" s="146">
        <f t="shared" si="41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-67.50791815068487</v>
      </c>
      <c r="AA54" s="63">
        <f>($L54+SUM($W54:Z54))*(S$11*S54)</f>
        <v>-467.9034983851798</v>
      </c>
      <c r="AB54" s="63">
        <f>($L54+SUM($W54:AA54))*(T$11*T54)</f>
        <v>-476.8937264093279</v>
      </c>
      <c r="AC54" s="63">
        <f>($L54+SUM($W54:AB54))*(U$11*U54)</f>
        <v>0</v>
      </c>
      <c r="AD54" s="63">
        <f>($L54+SUM($W54:AC54))*(V$11*V54)</f>
        <v>0</v>
      </c>
      <c r="AE54" s="115">
        <f t="shared" si="47"/>
        <v>-1012.3051429451925</v>
      </c>
    </row>
    <row r="55" spans="1:31" s="70" customFormat="1" ht="12.75">
      <c r="A55" s="3">
        <v>12</v>
      </c>
      <c r="B55" s="87">
        <f t="shared" si="16"/>
        <v>41609</v>
      </c>
      <c r="C55" s="249">
        <f t="shared" si="48"/>
        <v>41280</v>
      </c>
      <c r="D55" s="249">
        <f t="shared" si="48"/>
        <v>41295</v>
      </c>
      <c r="E55" s="88" t="s">
        <v>137</v>
      </c>
      <c r="F55" s="84">
        <v>9</v>
      </c>
      <c r="G55" s="89">
        <v>663</v>
      </c>
      <c r="H55" s="254">
        <f t="shared" si="46"/>
        <v>1586.22</v>
      </c>
      <c r="I55" s="254">
        <f t="shared" si="49"/>
        <v>1491.39</v>
      </c>
      <c r="J55" s="90">
        <f t="shared" si="9"/>
        <v>988791.5700000001</v>
      </c>
      <c r="K55" s="91">
        <f t="shared" si="32"/>
        <v>1051663.86</v>
      </c>
      <c r="L55" s="92">
        <f t="shared" si="43"/>
        <v>-62872.29000000004</v>
      </c>
      <c r="M55" s="93">
        <f t="shared" si="37"/>
        <v>-3002.6315798854207</v>
      </c>
      <c r="N55" s="94">
        <f t="shared" si="44"/>
        <v>-65874.92157988546</v>
      </c>
      <c r="O55" s="84">
        <f t="shared" si="26"/>
        <v>70</v>
      </c>
      <c r="P55" s="84">
        <f t="shared" si="27"/>
        <v>91</v>
      </c>
      <c r="Q55" s="84">
        <f t="shared" si="28"/>
        <v>92</v>
      </c>
      <c r="R55" s="84">
        <f t="shared" si="45"/>
        <v>92</v>
      </c>
      <c r="S55" s="84">
        <f t="shared" si="45"/>
        <v>90</v>
      </c>
      <c r="T55" s="84">
        <f t="shared" si="45"/>
        <v>91</v>
      </c>
      <c r="U55" s="84">
        <f t="shared" si="45"/>
        <v>0</v>
      </c>
      <c r="V55" s="112">
        <f t="shared" si="17"/>
        <v>0</v>
      </c>
      <c r="W55" s="147">
        <f t="shared" si="41"/>
        <v>-391.87523219178104</v>
      </c>
      <c r="X55" s="95">
        <f>($L55+SUM($W55:W55))*(P$11*P55)</f>
        <v>-512.6130648608419</v>
      </c>
      <c r="Y55" s="95">
        <f>($L55+SUM($W55:X55))*(Q$11*Q55)</f>
        <v>-522.4453893374998</v>
      </c>
      <c r="Z55" s="95">
        <f>($L55+SUM($W55:Y55))*(R$11*R55)</f>
        <v>-526.7251474583742</v>
      </c>
      <c r="AA55" s="95">
        <f>($L55+SUM($W55:Z55))*(S$11*S55)</f>
        <v>-519.4956173671422</v>
      </c>
      <c r="AB55" s="95">
        <f>($L55+SUM($W55:AA55))*(T$11*T55)</f>
        <v>-529.4771286697818</v>
      </c>
      <c r="AC55" s="95">
        <f>($L55+SUM($W55:AB55))*(U$11*U55)</f>
        <v>0</v>
      </c>
      <c r="AD55" s="95">
        <f>($L55+SUM($W55:AC55))*(V$11*V55)</f>
        <v>0</v>
      </c>
      <c r="AE55" s="116">
        <f t="shared" si="47"/>
        <v>-3002.6315798854207</v>
      </c>
    </row>
    <row r="56" spans="1:31" s="13" customFormat="1" ht="12.75" customHeight="1">
      <c r="A56" s="16">
        <v>1</v>
      </c>
      <c r="B56" s="15">
        <f t="shared" si="16"/>
        <v>41275</v>
      </c>
      <c r="C56" s="248">
        <f t="shared" si="48"/>
        <v>41310</v>
      </c>
      <c r="D56" s="248">
        <f t="shared" si="48"/>
        <v>41325</v>
      </c>
      <c r="E56" s="123" t="s">
        <v>118</v>
      </c>
      <c r="F56" s="16">
        <v>9</v>
      </c>
      <c r="G56" s="73">
        <v>32</v>
      </c>
      <c r="H56" s="253">
        <f aca="true" t="shared" si="50" ref="H56:H61">$K$3</f>
        <v>1446.51</v>
      </c>
      <c r="I56" s="253">
        <f t="shared" si="49"/>
        <v>1491.39</v>
      </c>
      <c r="J56" s="56">
        <f t="shared" si="9"/>
        <v>47724.48</v>
      </c>
      <c r="K56" s="57">
        <f t="shared" si="32"/>
        <v>46288.32</v>
      </c>
      <c r="L56" s="58">
        <f t="shared" si="43"/>
        <v>1436.1600000000035</v>
      </c>
      <c r="M56" s="55">
        <f t="shared" si="37"/>
        <v>64.59296508539538</v>
      </c>
      <c r="N56" s="29">
        <f t="shared" si="44"/>
        <v>1500.752965085399</v>
      </c>
      <c r="O56" s="16">
        <f t="shared" si="26"/>
        <v>40</v>
      </c>
      <c r="P56" s="16">
        <f t="shared" si="27"/>
        <v>91</v>
      </c>
      <c r="Q56" s="16">
        <f t="shared" si="28"/>
        <v>92</v>
      </c>
      <c r="R56" s="16">
        <f t="shared" si="45"/>
        <v>92</v>
      </c>
      <c r="S56" s="16">
        <f t="shared" si="45"/>
        <v>90</v>
      </c>
      <c r="T56" s="16">
        <f t="shared" si="45"/>
        <v>91</v>
      </c>
      <c r="U56" s="16">
        <f t="shared" si="45"/>
        <v>0</v>
      </c>
      <c r="V56" s="111">
        <f>IF(W$8&lt;V$8,0,IF($D56&lt;V$8,V$12,IF($D56&lt;W$8,W$8-$D56,0)))</f>
        <v>0</v>
      </c>
      <c r="W56" s="146">
        <f>$L56*O$11*O56</f>
        <v>5.115090410958917</v>
      </c>
      <c r="X56" s="63">
        <f>($L56+SUM($W56:W56))*(P$11*P56)</f>
        <v>11.678276931206634</v>
      </c>
      <c r="Y56" s="63">
        <f>($L56+SUM($W56:X56))*(Q$11*Q56)</f>
        <v>11.90227552973448</v>
      </c>
      <c r="Z56" s="63">
        <f>($L56+SUM($W56:Y56))*(R$11*R56)</f>
        <v>11.999776362156139</v>
      </c>
      <c r="AA56" s="63">
        <f>($L56+SUM($W56:Z56))*(S$11*S56)</f>
        <v>11.835074250026366</v>
      </c>
      <c r="AB56" s="63">
        <f>($L56+SUM($W56:AA56))*(T$11*T56)</f>
        <v>12.062471601312835</v>
      </c>
      <c r="AC56" s="63">
        <f>($L56+SUM($W56:AB56))*(U$11*U56)</f>
        <v>0</v>
      </c>
      <c r="AD56" s="63">
        <f>($L56+SUM($W56:AC56))*(V$11*V56)</f>
        <v>0</v>
      </c>
      <c r="AE56" s="115">
        <f aca="true" t="shared" si="51" ref="AE56:AE61">SUM(W56:AD56)</f>
        <v>64.59296508539538</v>
      </c>
    </row>
    <row r="57" spans="1:31" ht="12.75">
      <c r="A57" s="3">
        <v>2</v>
      </c>
      <c r="B57" s="15">
        <f t="shared" si="16"/>
        <v>41306</v>
      </c>
      <c r="C57" s="249">
        <f t="shared" si="48"/>
        <v>41338</v>
      </c>
      <c r="D57" s="249">
        <f t="shared" si="48"/>
        <v>41353</v>
      </c>
      <c r="E57" s="71" t="s">
        <v>118</v>
      </c>
      <c r="F57" s="3">
        <v>9</v>
      </c>
      <c r="G57" s="73">
        <v>33</v>
      </c>
      <c r="H57" s="253">
        <f t="shared" si="50"/>
        <v>1446.51</v>
      </c>
      <c r="I57" s="253">
        <f t="shared" si="49"/>
        <v>1491.39</v>
      </c>
      <c r="J57" s="56">
        <f t="shared" si="9"/>
        <v>49215.87</v>
      </c>
      <c r="K57" s="57">
        <f t="shared" si="32"/>
        <v>47734.83</v>
      </c>
      <c r="L57" s="58">
        <f t="shared" si="43"/>
        <v>1481.0400000000009</v>
      </c>
      <c r="M57" s="55">
        <f t="shared" si="37"/>
        <v>62.76666078984395</v>
      </c>
      <c r="N57" s="29">
        <f t="shared" si="44"/>
        <v>1543.8066607898447</v>
      </c>
      <c r="O57" s="16">
        <f t="shared" si="26"/>
        <v>12</v>
      </c>
      <c r="P57" s="16">
        <f t="shared" si="27"/>
        <v>91</v>
      </c>
      <c r="Q57" s="16">
        <f t="shared" si="28"/>
        <v>92</v>
      </c>
      <c r="R57" s="16">
        <f t="shared" si="45"/>
        <v>92</v>
      </c>
      <c r="S57" s="16">
        <f t="shared" si="45"/>
        <v>90</v>
      </c>
      <c r="T57" s="16">
        <f t="shared" si="45"/>
        <v>91</v>
      </c>
      <c r="U57" s="16">
        <f t="shared" si="45"/>
        <v>0</v>
      </c>
      <c r="V57" s="111">
        <f t="shared" si="17"/>
        <v>0</v>
      </c>
      <c r="W57" s="146">
        <f aca="true" t="shared" si="52" ref="W57:W67">$L57*O$11*O57</f>
        <v>1.5824810958904119</v>
      </c>
      <c r="X57" s="63">
        <f>($L57+SUM($W57:W57))*(P$11*P57)</f>
        <v>12.013304076276983</v>
      </c>
      <c r="Y57" s="63">
        <f>($L57+SUM($W57:X57))*(Q$11*Q57)</f>
        <v>12.243728760725432</v>
      </c>
      <c r="Z57" s="63">
        <f>($L57+SUM($W57:Y57))*(R$11*R57)</f>
        <v>12.344026703176304</v>
      </c>
      <c r="AA57" s="63">
        <f>($L57+SUM($W57:Z57))*(S$11*S57)</f>
        <v>12.174599606467137</v>
      </c>
      <c r="AB57" s="63">
        <f>($L57+SUM($W57:AA57))*(T$11*T57)</f>
        <v>12.408520547307681</v>
      </c>
      <c r="AC57" s="63">
        <f>($L57+SUM($W57:AB57))*(U$11*U57)</f>
        <v>0</v>
      </c>
      <c r="AD57" s="63">
        <f>($L57+SUM($W57:AC57))*(V$11*V57)</f>
        <v>0</v>
      </c>
      <c r="AE57" s="115">
        <f t="shared" si="51"/>
        <v>62.76666078984395</v>
      </c>
    </row>
    <row r="58" spans="1:31" ht="12.75">
      <c r="A58" s="3">
        <v>3</v>
      </c>
      <c r="B58" s="15">
        <f t="shared" si="16"/>
        <v>41334</v>
      </c>
      <c r="C58" s="249">
        <f t="shared" si="48"/>
        <v>41367</v>
      </c>
      <c r="D58" s="249">
        <f t="shared" si="48"/>
        <v>41382</v>
      </c>
      <c r="E58" s="71" t="s">
        <v>118</v>
      </c>
      <c r="F58" s="3">
        <v>9</v>
      </c>
      <c r="G58" s="73">
        <v>31</v>
      </c>
      <c r="H58" s="253">
        <f t="shared" si="50"/>
        <v>1446.51</v>
      </c>
      <c r="I58" s="253">
        <f t="shared" si="49"/>
        <v>1491.39</v>
      </c>
      <c r="J58" s="56">
        <f t="shared" si="9"/>
        <v>46233.090000000004</v>
      </c>
      <c r="K58" s="57">
        <f t="shared" si="32"/>
        <v>44841.81</v>
      </c>
      <c r="L58" s="58">
        <f>+J58-K58</f>
        <v>1391.280000000006</v>
      </c>
      <c r="M58" s="55">
        <f t="shared" si="37"/>
        <v>55.23943877236052</v>
      </c>
      <c r="N58" s="29">
        <f>SUM(L58:M58)</f>
        <v>1446.5194387723666</v>
      </c>
      <c r="O58" s="16">
        <f t="shared" si="26"/>
        <v>0</v>
      </c>
      <c r="P58" s="16">
        <f t="shared" si="27"/>
        <v>74</v>
      </c>
      <c r="Q58" s="16">
        <f t="shared" si="28"/>
        <v>92</v>
      </c>
      <c r="R58" s="16">
        <f t="shared" si="45"/>
        <v>92</v>
      </c>
      <c r="S58" s="16">
        <f t="shared" si="45"/>
        <v>90</v>
      </c>
      <c r="T58" s="16">
        <f t="shared" si="45"/>
        <v>91</v>
      </c>
      <c r="U58" s="16">
        <f t="shared" si="45"/>
        <v>0</v>
      </c>
      <c r="V58" s="111">
        <f t="shared" si="17"/>
        <v>0</v>
      </c>
      <c r="W58" s="146">
        <f t="shared" si="52"/>
        <v>0</v>
      </c>
      <c r="X58" s="63">
        <f>($L58+SUM($W58:W58))*(P$11*P58)</f>
        <v>9.167201095890452</v>
      </c>
      <c r="Y58" s="63">
        <f>($L58+SUM($W58:X58))*(Q$11*Q58)</f>
        <v>11.472156524045836</v>
      </c>
      <c r="Z58" s="63">
        <f>($L58+SUM($W58:Y58))*(R$11*R58)</f>
        <v>11.566133915845555</v>
      </c>
      <c r="AA58" s="63">
        <f>($L58+SUM($W58:Z58))*(S$11*S58)</f>
        <v>11.407383733540218</v>
      </c>
      <c r="AB58" s="63">
        <f>($L58+SUM($W58:AA58))*(T$11*T58)</f>
        <v>11.626563503038462</v>
      </c>
      <c r="AC58" s="63">
        <f>($L58+SUM($W58:AB58))*(U$11*U58)</f>
        <v>0</v>
      </c>
      <c r="AD58" s="63">
        <f>($L58+SUM($W58:AC58))*(V$11*V58)</f>
        <v>0</v>
      </c>
      <c r="AE58" s="115">
        <f t="shared" si="51"/>
        <v>55.23943877236052</v>
      </c>
    </row>
    <row r="59" spans="1:31" ht="12" customHeight="1">
      <c r="A59" s="16">
        <v>4</v>
      </c>
      <c r="B59" s="15">
        <f t="shared" si="16"/>
        <v>41365</v>
      </c>
      <c r="C59" s="249">
        <f t="shared" si="48"/>
        <v>41397</v>
      </c>
      <c r="D59" s="249">
        <f t="shared" si="48"/>
        <v>41414</v>
      </c>
      <c r="E59" s="30" t="s">
        <v>118</v>
      </c>
      <c r="F59" s="3">
        <v>9</v>
      </c>
      <c r="G59" s="73">
        <v>26</v>
      </c>
      <c r="H59" s="253">
        <f t="shared" si="50"/>
        <v>1446.51</v>
      </c>
      <c r="I59" s="253">
        <f t="shared" si="49"/>
        <v>1491.39</v>
      </c>
      <c r="J59" s="56">
        <f t="shared" si="9"/>
        <v>38776.14</v>
      </c>
      <c r="K59" s="57">
        <f t="shared" si="32"/>
        <v>37609.26</v>
      </c>
      <c r="L59" s="58">
        <f aca="true" t="shared" si="53" ref="L59:L69">+J59-K59</f>
        <v>1166.8799999999974</v>
      </c>
      <c r="M59" s="55">
        <f t="shared" si="37"/>
        <v>42.89566277450954</v>
      </c>
      <c r="N59" s="29">
        <f aca="true" t="shared" si="54" ref="N59:N69">SUM(L59:M59)</f>
        <v>1209.7756627745068</v>
      </c>
      <c r="O59" s="16">
        <f aca="true" t="shared" si="55" ref="O59:U59">IF($D59&lt;O$8,O$12,IF($D59&lt;P$8,P$8-$D59,0))</f>
        <v>0</v>
      </c>
      <c r="P59" s="16">
        <f t="shared" si="55"/>
        <v>42</v>
      </c>
      <c r="Q59" s="16">
        <f t="shared" si="55"/>
        <v>92</v>
      </c>
      <c r="R59" s="16">
        <f t="shared" si="55"/>
        <v>92</v>
      </c>
      <c r="S59" s="16">
        <f t="shared" si="55"/>
        <v>90</v>
      </c>
      <c r="T59" s="16">
        <f t="shared" si="55"/>
        <v>91</v>
      </c>
      <c r="U59" s="16">
        <f t="shared" si="55"/>
        <v>0</v>
      </c>
      <c r="V59" s="111">
        <f>IF(W$8&lt;V$8,0,IF($D59&lt;V$8,V$12,IF($D59&lt;W$8,W$8-$D59,0)))</f>
        <v>0</v>
      </c>
      <c r="W59" s="146">
        <f>$L59*O$11*O59</f>
        <v>0</v>
      </c>
      <c r="X59" s="63">
        <f>($L59+SUM($W59:W59))*(P$11*P59)</f>
        <v>4.363811506849306</v>
      </c>
      <c r="Y59" s="63">
        <f>($L59+SUM($W59:X59))*(Q$11*Q59)</f>
        <v>9.594572592891701</v>
      </c>
      <c r="Z59" s="63">
        <f>($L59+SUM($W59:Y59))*(R$11*R59)</f>
        <v>9.67316922865265</v>
      </c>
      <c r="AA59" s="63">
        <f>($L59+SUM($W59:Z59))*(S$11*S59)</f>
        <v>9.540400804069982</v>
      </c>
      <c r="AB59" s="63">
        <f>($L59+SUM($W59:AA59))*(T$11*T59)</f>
        <v>9.723708642045901</v>
      </c>
      <c r="AC59" s="63">
        <f>($L59+SUM($W59:AB59))*(U$11*U59)</f>
        <v>0</v>
      </c>
      <c r="AD59" s="63">
        <f>($L59+SUM($W59:AC59))*(V$11*V59)</f>
        <v>0</v>
      </c>
      <c r="AE59" s="115">
        <f t="shared" si="51"/>
        <v>42.89566277450954</v>
      </c>
    </row>
    <row r="60" spans="1:31" ht="12" customHeight="1">
      <c r="A60" s="3">
        <v>5</v>
      </c>
      <c r="B60" s="15">
        <f t="shared" si="16"/>
        <v>41395</v>
      </c>
      <c r="C60" s="249">
        <f t="shared" si="48"/>
        <v>41430</v>
      </c>
      <c r="D60" s="249">
        <f t="shared" si="48"/>
        <v>41445</v>
      </c>
      <c r="E60" s="30" t="s">
        <v>118</v>
      </c>
      <c r="F60" s="3">
        <v>9</v>
      </c>
      <c r="G60" s="73">
        <v>30</v>
      </c>
      <c r="H60" s="253">
        <f t="shared" si="50"/>
        <v>1446.51</v>
      </c>
      <c r="I60" s="253">
        <f t="shared" si="49"/>
        <v>1491.39</v>
      </c>
      <c r="J60" s="56">
        <f t="shared" si="9"/>
        <v>44741.700000000004</v>
      </c>
      <c r="K60" s="57">
        <f t="shared" si="32"/>
        <v>43395.3</v>
      </c>
      <c r="L60" s="58">
        <f t="shared" si="53"/>
        <v>1346.4000000000015</v>
      </c>
      <c r="M60" s="55">
        <f t="shared" si="37"/>
        <v>45.656298559353644</v>
      </c>
      <c r="N60" s="29">
        <f t="shared" si="54"/>
        <v>1392.0562985593551</v>
      </c>
      <c r="O60" s="16">
        <f t="shared" si="26"/>
        <v>0</v>
      </c>
      <c r="P60" s="16">
        <f t="shared" si="27"/>
        <v>11</v>
      </c>
      <c r="Q60" s="16">
        <f t="shared" si="28"/>
        <v>92</v>
      </c>
      <c r="R60" s="16">
        <f t="shared" si="45"/>
        <v>92</v>
      </c>
      <c r="S60" s="16">
        <f t="shared" si="45"/>
        <v>90</v>
      </c>
      <c r="T60" s="16">
        <f t="shared" si="45"/>
        <v>91</v>
      </c>
      <c r="U60" s="16">
        <f t="shared" si="45"/>
        <v>0</v>
      </c>
      <c r="V60" s="111">
        <f t="shared" si="17"/>
        <v>0</v>
      </c>
      <c r="W60" s="146">
        <f t="shared" si="52"/>
        <v>0</v>
      </c>
      <c r="X60" s="63">
        <f>($L60+SUM($W60:W60))*(P$11*P60)</f>
        <v>1.3187342465753438</v>
      </c>
      <c r="Y60" s="63">
        <f>($L60+SUM($W60:X60))*(Q$11*Q60)</f>
        <v>11.04021648054045</v>
      </c>
      <c r="Z60" s="63">
        <f>($L60+SUM($W60:Y60))*(R$11*R60)</f>
        <v>11.130655514175562</v>
      </c>
      <c r="AA60" s="63">
        <f>($L60+SUM($W60:Z60))*(S$11*S60)</f>
        <v>10.977882460974742</v>
      </c>
      <c r="AB60" s="63">
        <f>($L60+SUM($W60:AA60))*(T$11*T60)</f>
        <v>11.188809857087552</v>
      </c>
      <c r="AC60" s="63">
        <f>($L60+SUM($W60:AB60))*(U$11*U60)</f>
        <v>0</v>
      </c>
      <c r="AD60" s="63">
        <f>($L60+SUM($W60:AC60))*(V$11*V60)</f>
        <v>0</v>
      </c>
      <c r="AE60" s="115">
        <f t="shared" si="51"/>
        <v>45.656298559353644</v>
      </c>
    </row>
    <row r="61" spans="1:31" ht="12.75">
      <c r="A61" s="3">
        <v>6</v>
      </c>
      <c r="B61" s="15">
        <f t="shared" si="16"/>
        <v>41426</v>
      </c>
      <c r="C61" s="249">
        <f t="shared" si="48"/>
        <v>41460</v>
      </c>
      <c r="D61" s="249">
        <f t="shared" si="48"/>
        <v>41477</v>
      </c>
      <c r="E61" s="30" t="s">
        <v>118</v>
      </c>
      <c r="F61" s="3">
        <v>9</v>
      </c>
      <c r="G61" s="73">
        <v>33</v>
      </c>
      <c r="H61" s="253">
        <f t="shared" si="50"/>
        <v>1446.51</v>
      </c>
      <c r="I61" s="253">
        <f t="shared" si="49"/>
        <v>1491.39</v>
      </c>
      <c r="J61" s="56">
        <f t="shared" si="9"/>
        <v>49215.87</v>
      </c>
      <c r="K61" s="57">
        <f t="shared" si="32"/>
        <v>47734.83</v>
      </c>
      <c r="L61" s="79">
        <f t="shared" si="53"/>
        <v>1481.0400000000009</v>
      </c>
      <c r="M61" s="80">
        <f t="shared" si="37"/>
        <v>45.88639171797016</v>
      </c>
      <c r="N61" s="78">
        <f t="shared" si="54"/>
        <v>1526.926391717971</v>
      </c>
      <c r="O61" s="16">
        <f t="shared" si="26"/>
        <v>0</v>
      </c>
      <c r="P61" s="16">
        <f t="shared" si="27"/>
        <v>0</v>
      </c>
      <c r="Q61" s="16">
        <f t="shared" si="28"/>
        <v>71</v>
      </c>
      <c r="R61" s="16">
        <f t="shared" si="45"/>
        <v>92</v>
      </c>
      <c r="S61" s="16">
        <f t="shared" si="45"/>
        <v>90</v>
      </c>
      <c r="T61" s="16">
        <f t="shared" si="45"/>
        <v>91</v>
      </c>
      <c r="U61" s="16">
        <f t="shared" si="45"/>
        <v>0</v>
      </c>
      <c r="V61" s="111">
        <f t="shared" si="17"/>
        <v>0</v>
      </c>
      <c r="W61" s="146">
        <f t="shared" si="52"/>
        <v>0</v>
      </c>
      <c r="X61" s="63">
        <f>($L61+SUM($W61:W61))*(P$11*P61)</f>
        <v>0</v>
      </c>
      <c r="Y61" s="63">
        <f>($L61+SUM($W61:X61))*(Q$11*Q61)</f>
        <v>9.363013150684937</v>
      </c>
      <c r="Z61" s="63">
        <f>($L61+SUM($W61:Y61))*(R$11*R61)</f>
        <v>12.209054820056302</v>
      </c>
      <c r="AA61" s="63">
        <f>($L61+SUM($W61:Z61))*(S$11*S61)</f>
        <v>12.04148027072444</v>
      </c>
      <c r="AB61" s="63">
        <f>($L61+SUM($W61:AA61))*(T$11*T61)</f>
        <v>12.272843476504486</v>
      </c>
      <c r="AC61" s="63">
        <f>($L61+SUM($W61:AB61))*(U$11*U61)</f>
        <v>0</v>
      </c>
      <c r="AD61" s="63">
        <f>($L61+SUM($W61:AC61))*(V$11*V61)</f>
        <v>0</v>
      </c>
      <c r="AE61" s="115">
        <f t="shared" si="51"/>
        <v>45.88639171797016</v>
      </c>
    </row>
    <row r="62" spans="1:31" ht="12.75">
      <c r="A62" s="16">
        <v>7</v>
      </c>
      <c r="B62" s="15">
        <f t="shared" si="16"/>
        <v>41456</v>
      </c>
      <c r="C62" s="249">
        <f t="shared" si="48"/>
        <v>41491</v>
      </c>
      <c r="D62" s="249">
        <f t="shared" si="48"/>
        <v>41506</v>
      </c>
      <c r="E62" s="30" t="s">
        <v>118</v>
      </c>
      <c r="F62" s="3">
        <v>9</v>
      </c>
      <c r="G62" s="73">
        <v>33</v>
      </c>
      <c r="H62" s="253">
        <f aca="true" t="shared" si="56" ref="H62:H67">$K$8</f>
        <v>1586.22</v>
      </c>
      <c r="I62" s="253">
        <f t="shared" si="49"/>
        <v>1491.39</v>
      </c>
      <c r="J62" s="56">
        <f t="shared" si="9"/>
        <v>49215.87</v>
      </c>
      <c r="K62" s="76">
        <f t="shared" si="32"/>
        <v>52345.26</v>
      </c>
      <c r="L62" s="79">
        <f t="shared" si="53"/>
        <v>-3129.3899999999994</v>
      </c>
      <c r="M62" s="77">
        <f t="shared" si="37"/>
        <v>-88.67776537545494</v>
      </c>
      <c r="N62" s="78">
        <f t="shared" si="54"/>
        <v>-3218.067765375454</v>
      </c>
      <c r="O62" s="16">
        <f t="shared" si="26"/>
        <v>0</v>
      </c>
      <c r="P62" s="16">
        <f t="shared" si="27"/>
        <v>0</v>
      </c>
      <c r="Q62" s="16">
        <f t="shared" si="28"/>
        <v>42</v>
      </c>
      <c r="R62" s="16">
        <f t="shared" si="45"/>
        <v>92</v>
      </c>
      <c r="S62" s="16">
        <f t="shared" si="45"/>
        <v>90</v>
      </c>
      <c r="T62" s="16">
        <f t="shared" si="45"/>
        <v>91</v>
      </c>
      <c r="U62" s="16">
        <f t="shared" si="45"/>
        <v>0</v>
      </c>
      <c r="V62" s="111">
        <f t="shared" si="17"/>
        <v>0</v>
      </c>
      <c r="W62" s="146">
        <f t="shared" si="52"/>
        <v>0</v>
      </c>
      <c r="X62" s="63">
        <f>($L62+SUM($W62:W62))*(P$11*P62)</f>
        <v>0</v>
      </c>
      <c r="Y62" s="63">
        <f>($L62+SUM($W62:X62))*(Q$11*Q62)</f>
        <v>-11.70306123287671</v>
      </c>
      <c r="Z62" s="63">
        <f>($L62+SUM($W62:Y62))*(R$11*R62)</f>
        <v>-25.731145898866572</v>
      </c>
      <c r="AA62" s="63">
        <f>($L62+SUM($W62:Z62))*(S$11*S62)</f>
        <v>-25.37797481057629</v>
      </c>
      <c r="AB62" s="63">
        <f>($L62+SUM($W62:AA62))*(T$11*T62)</f>
        <v>-25.865583433135367</v>
      </c>
      <c r="AC62" s="63">
        <f>($L62+SUM($W62:AB62))*(U$11*U62)</f>
        <v>0</v>
      </c>
      <c r="AD62" s="63">
        <f>($L62+SUM($W62:AC62))*(V$11*V62)</f>
        <v>0</v>
      </c>
      <c r="AE62" s="115">
        <f aca="true" t="shared" si="57" ref="AE62:AE67">SUM(W62:AD62)</f>
        <v>-88.67776537545494</v>
      </c>
    </row>
    <row r="63" spans="1:31" ht="12.75">
      <c r="A63" s="3">
        <v>8</v>
      </c>
      <c r="B63" s="15">
        <f t="shared" si="16"/>
        <v>41487</v>
      </c>
      <c r="C63" s="249">
        <f t="shared" si="48"/>
        <v>41522</v>
      </c>
      <c r="D63" s="249">
        <f t="shared" si="48"/>
        <v>41537</v>
      </c>
      <c r="E63" s="30" t="s">
        <v>118</v>
      </c>
      <c r="F63" s="3">
        <v>9</v>
      </c>
      <c r="G63" s="73">
        <v>34</v>
      </c>
      <c r="H63" s="253">
        <f t="shared" si="56"/>
        <v>1586.22</v>
      </c>
      <c r="I63" s="253">
        <f t="shared" si="49"/>
        <v>1491.39</v>
      </c>
      <c r="J63" s="56">
        <f t="shared" si="9"/>
        <v>50707.26</v>
      </c>
      <c r="K63" s="76">
        <f t="shared" si="32"/>
        <v>53931.48</v>
      </c>
      <c r="L63" s="79">
        <f t="shared" si="53"/>
        <v>-3224.220000000001</v>
      </c>
      <c r="M63" s="77">
        <f t="shared" si="37"/>
        <v>-82.2471456555815</v>
      </c>
      <c r="N63" s="78">
        <f t="shared" si="54"/>
        <v>-3306.4671456555825</v>
      </c>
      <c r="O63" s="16">
        <f t="shared" si="26"/>
        <v>0</v>
      </c>
      <c r="P63" s="16">
        <f t="shared" si="27"/>
        <v>0</v>
      </c>
      <c r="Q63" s="16">
        <f t="shared" si="28"/>
        <v>11</v>
      </c>
      <c r="R63" s="16">
        <f aca="true" t="shared" si="58" ref="R63:U77">IF($D63&lt;R$8,R$12,IF($D63&lt;S$8,S$8-$D63,0))</f>
        <v>92</v>
      </c>
      <c r="S63" s="16">
        <f t="shared" si="58"/>
        <v>90</v>
      </c>
      <c r="T63" s="16">
        <f t="shared" si="58"/>
        <v>91</v>
      </c>
      <c r="U63" s="16">
        <f t="shared" si="58"/>
        <v>0</v>
      </c>
      <c r="V63" s="111">
        <f t="shared" si="17"/>
        <v>0</v>
      </c>
      <c r="W63" s="146">
        <f t="shared" si="52"/>
        <v>0</v>
      </c>
      <c r="X63" s="63">
        <f>($L63+SUM($W63:W63))*(P$11*P63)</f>
        <v>0</v>
      </c>
      <c r="Y63" s="63">
        <f>($L63+SUM($W63:X63))*(Q$11*Q63)</f>
        <v>-3.15796890410959</v>
      </c>
      <c r="Z63" s="63">
        <f>($L63+SUM($W63:Y63))*(R$11*R63)</f>
        <v>-26.43797295074874</v>
      </c>
      <c r="AA63" s="63">
        <f>($L63+SUM($W63:Z63))*(S$11*S63)</f>
        <v>-26.07510035596017</v>
      </c>
      <c r="AB63" s="63">
        <f>($L63+SUM($W63:AA63))*(T$11*T63)</f>
        <v>-26.576103444763014</v>
      </c>
      <c r="AC63" s="63">
        <f>($L63+SUM($W63:AB63))*(U$11*U63)</f>
        <v>0</v>
      </c>
      <c r="AD63" s="63">
        <f>($L63+SUM($W63:AC63))*(V$11*V63)</f>
        <v>0</v>
      </c>
      <c r="AE63" s="115">
        <f t="shared" si="57"/>
        <v>-82.2471456555815</v>
      </c>
    </row>
    <row r="64" spans="1:31" ht="12.75">
      <c r="A64" s="3">
        <v>9</v>
      </c>
      <c r="B64" s="15">
        <f t="shared" si="16"/>
        <v>41518</v>
      </c>
      <c r="C64" s="249">
        <f t="shared" si="48"/>
        <v>41550</v>
      </c>
      <c r="D64" s="249">
        <f t="shared" si="48"/>
        <v>41565</v>
      </c>
      <c r="E64" s="30" t="s">
        <v>118</v>
      </c>
      <c r="F64" s="3">
        <v>9</v>
      </c>
      <c r="G64" s="73">
        <v>31</v>
      </c>
      <c r="H64" s="253">
        <f t="shared" si="56"/>
        <v>1586.22</v>
      </c>
      <c r="I64" s="253">
        <f t="shared" si="49"/>
        <v>1491.39</v>
      </c>
      <c r="J64" s="56">
        <f t="shared" si="9"/>
        <v>46233.090000000004</v>
      </c>
      <c r="K64" s="76">
        <f t="shared" si="32"/>
        <v>49172.82</v>
      </c>
      <c r="L64" s="79">
        <f t="shared" si="53"/>
        <v>-2939.729999999996</v>
      </c>
      <c r="M64" s="77">
        <f t="shared" si="37"/>
        <v>-67.51828990037487</v>
      </c>
      <c r="N64" s="78">
        <f t="shared" si="54"/>
        <v>-3007.2482899003708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58"/>
        <v>75</v>
      </c>
      <c r="S64" s="16">
        <f t="shared" si="58"/>
        <v>90</v>
      </c>
      <c r="T64" s="16">
        <f t="shared" si="58"/>
        <v>91</v>
      </c>
      <c r="U64" s="16">
        <f t="shared" si="58"/>
        <v>0</v>
      </c>
      <c r="V64" s="111">
        <f t="shared" si="17"/>
        <v>0</v>
      </c>
      <c r="W64" s="146">
        <f t="shared" si="52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-19.63175856164381</v>
      </c>
      <c r="AA64" s="63">
        <f>($L64+SUM($W64:Z64))*(S$11*S64)</f>
        <v>-23.715433270665194</v>
      </c>
      <c r="AB64" s="63">
        <f>($L64+SUM($W64:AA64))*(T$11*T64)</f>
        <v>-24.171098068065866</v>
      </c>
      <c r="AC64" s="63">
        <f>($L64+SUM($W64:AB64))*(U$11*U64)</f>
        <v>0</v>
      </c>
      <c r="AD64" s="63">
        <f>($L64+SUM($W64:AC64))*(V$11*V64)</f>
        <v>0</v>
      </c>
      <c r="AE64" s="115">
        <f t="shared" si="57"/>
        <v>-67.51828990037487</v>
      </c>
    </row>
    <row r="65" spans="1:31" ht="12.75">
      <c r="A65" s="16">
        <v>10</v>
      </c>
      <c r="B65" s="15">
        <f t="shared" si="16"/>
        <v>41548</v>
      </c>
      <c r="C65" s="249">
        <f t="shared" si="48"/>
        <v>41583</v>
      </c>
      <c r="D65" s="249">
        <f t="shared" si="48"/>
        <v>41598</v>
      </c>
      <c r="E65" s="30" t="s">
        <v>118</v>
      </c>
      <c r="F65" s="3">
        <v>9</v>
      </c>
      <c r="G65" s="73">
        <v>28</v>
      </c>
      <c r="H65" s="253">
        <f t="shared" si="56"/>
        <v>1586.22</v>
      </c>
      <c r="I65" s="253">
        <f t="shared" si="49"/>
        <v>1491.39</v>
      </c>
      <c r="J65" s="56">
        <f t="shared" si="9"/>
        <v>41758.920000000006</v>
      </c>
      <c r="K65" s="76">
        <f t="shared" si="32"/>
        <v>44414.16</v>
      </c>
      <c r="L65" s="79">
        <f t="shared" si="53"/>
        <v>-2655.239999999998</v>
      </c>
      <c r="M65" s="77">
        <f t="shared" si="37"/>
        <v>-53.0559733043758</v>
      </c>
      <c r="N65" s="78">
        <f t="shared" si="54"/>
        <v>-2708.2959733043735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58"/>
        <v>42</v>
      </c>
      <c r="S65" s="16">
        <f t="shared" si="58"/>
        <v>90</v>
      </c>
      <c r="T65" s="16">
        <f t="shared" si="58"/>
        <v>91</v>
      </c>
      <c r="U65" s="16">
        <f t="shared" si="58"/>
        <v>0</v>
      </c>
      <c r="V65" s="111">
        <f t="shared" si="17"/>
        <v>0</v>
      </c>
      <c r="W65" s="146">
        <f t="shared" si="52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-9.929870136986294</v>
      </c>
      <c r="AA65" s="63">
        <f>($L65+SUM($W65:Z65))*(S$11*S65)</f>
        <v>-21.35786813739912</v>
      </c>
      <c r="AB65" s="63">
        <f>($L65+SUM($W65:AA65))*(T$11*T65)</f>
        <v>-21.768235029990382</v>
      </c>
      <c r="AC65" s="63">
        <f>($L65+SUM($W65:AB65))*(U$11*U65)</f>
        <v>0</v>
      </c>
      <c r="AD65" s="63">
        <f>($L65+SUM($W65:AC65))*(V$11*V65)</f>
        <v>0</v>
      </c>
      <c r="AE65" s="115">
        <f t="shared" si="57"/>
        <v>-53.0559733043758</v>
      </c>
    </row>
    <row r="66" spans="1:31" ht="12.75">
      <c r="A66" s="3">
        <v>11</v>
      </c>
      <c r="B66" s="15">
        <f t="shared" si="16"/>
        <v>41579</v>
      </c>
      <c r="C66" s="249">
        <f t="shared" si="48"/>
        <v>41612</v>
      </c>
      <c r="D66" s="249">
        <f t="shared" si="48"/>
        <v>41627</v>
      </c>
      <c r="E66" s="30" t="s">
        <v>118</v>
      </c>
      <c r="F66" s="3">
        <v>9</v>
      </c>
      <c r="G66" s="73">
        <v>31</v>
      </c>
      <c r="H66" s="253">
        <f t="shared" si="56"/>
        <v>1586.22</v>
      </c>
      <c r="I66" s="253">
        <f t="shared" si="49"/>
        <v>1491.39</v>
      </c>
      <c r="J66" s="56">
        <f t="shared" si="9"/>
        <v>46233.090000000004</v>
      </c>
      <c r="K66" s="76">
        <f t="shared" si="32"/>
        <v>49172.82</v>
      </c>
      <c r="L66" s="79">
        <f t="shared" si="53"/>
        <v>-2939.729999999996</v>
      </c>
      <c r="M66" s="77">
        <f t="shared" si="37"/>
        <v>-51.02676330292837</v>
      </c>
      <c r="N66" s="78">
        <f t="shared" si="54"/>
        <v>-2990.7567633029244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58"/>
        <v>13</v>
      </c>
      <c r="S66" s="16">
        <f t="shared" si="58"/>
        <v>90</v>
      </c>
      <c r="T66" s="16">
        <f t="shared" si="58"/>
        <v>91</v>
      </c>
      <c r="U66" s="16">
        <f t="shared" si="58"/>
        <v>0</v>
      </c>
      <c r="V66" s="111">
        <f t="shared" si="17"/>
        <v>0</v>
      </c>
      <c r="W66" s="146">
        <f t="shared" si="52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-3.4028381506849263</v>
      </c>
      <c r="AA66" s="63">
        <f>($L66+SUM($W66:Z66))*(S$11*S66)</f>
        <v>-23.585379593399292</v>
      </c>
      <c r="AB66" s="63">
        <f>($L66+SUM($W66:AA66))*(T$11*T66)</f>
        <v>-24.038545558844156</v>
      </c>
      <c r="AC66" s="63">
        <f>($L66+SUM($W66:AB66))*(U$11*U66)</f>
        <v>0</v>
      </c>
      <c r="AD66" s="63">
        <f>($L66+SUM($W66:AC66))*(V$11*V66)</f>
        <v>0</v>
      </c>
      <c r="AE66" s="115">
        <f t="shared" si="57"/>
        <v>-51.02676330292837</v>
      </c>
    </row>
    <row r="67" spans="1:31" s="70" customFormat="1" ht="12.75">
      <c r="A67" s="3">
        <v>12</v>
      </c>
      <c r="B67" s="87">
        <f t="shared" si="16"/>
        <v>41609</v>
      </c>
      <c r="C67" s="249">
        <f t="shared" si="48"/>
        <v>41280</v>
      </c>
      <c r="D67" s="249">
        <f t="shared" si="48"/>
        <v>41295</v>
      </c>
      <c r="E67" s="88" t="s">
        <v>118</v>
      </c>
      <c r="F67" s="84">
        <v>9</v>
      </c>
      <c r="G67" s="89">
        <v>30</v>
      </c>
      <c r="H67" s="254">
        <f t="shared" si="56"/>
        <v>1586.22</v>
      </c>
      <c r="I67" s="254">
        <f t="shared" si="49"/>
        <v>1491.39</v>
      </c>
      <c r="J67" s="90">
        <f t="shared" si="9"/>
        <v>44741.700000000004</v>
      </c>
      <c r="K67" s="91">
        <f t="shared" si="32"/>
        <v>47586.6</v>
      </c>
      <c r="L67" s="92">
        <f t="shared" si="53"/>
        <v>-2844.899999999994</v>
      </c>
      <c r="M67" s="93">
        <f t="shared" si="37"/>
        <v>-135.86568234775626</v>
      </c>
      <c r="N67" s="94">
        <f t="shared" si="54"/>
        <v>-2980.7656823477505</v>
      </c>
      <c r="O67" s="84">
        <f t="shared" si="26"/>
        <v>70</v>
      </c>
      <c r="P67" s="84">
        <f t="shared" si="27"/>
        <v>91</v>
      </c>
      <c r="Q67" s="84">
        <f t="shared" si="28"/>
        <v>92</v>
      </c>
      <c r="R67" s="84">
        <f t="shared" si="58"/>
        <v>92</v>
      </c>
      <c r="S67" s="84">
        <f t="shared" si="58"/>
        <v>90</v>
      </c>
      <c r="T67" s="84">
        <f t="shared" si="58"/>
        <v>91</v>
      </c>
      <c r="U67" s="84">
        <f t="shared" si="58"/>
        <v>0</v>
      </c>
      <c r="V67" s="112">
        <f t="shared" si="17"/>
        <v>0</v>
      </c>
      <c r="W67" s="147">
        <f t="shared" si="52"/>
        <v>-17.731910958904074</v>
      </c>
      <c r="X67" s="95">
        <f>($L67+SUM($W67:W67))*(P$11*P67)</f>
        <v>-23.195161305920386</v>
      </c>
      <c r="Y67" s="95">
        <f>($L67+SUM($W67:X67))*(Q$11*Q67)</f>
        <v>-23.640062865950156</v>
      </c>
      <c r="Z67" s="95">
        <f>($L67+SUM($W67:Y67))*(R$11*R67)</f>
        <v>-23.833717079564376</v>
      </c>
      <c r="AA67" s="95">
        <f>($L67+SUM($W67:Z67))*(S$11*S67)</f>
        <v>-23.5065890211376</v>
      </c>
      <c r="AB67" s="95">
        <f>($L67+SUM($W67:AA67))*(T$11*T67)</f>
        <v>-23.95824111627966</v>
      </c>
      <c r="AC67" s="95">
        <f>($L67+SUM($W67:AB67))*(U$11*U67)</f>
        <v>0</v>
      </c>
      <c r="AD67" s="95">
        <f>($L67+SUM($W67:AC67))*(V$11*V67)</f>
        <v>0</v>
      </c>
      <c r="AE67" s="116">
        <f t="shared" si="57"/>
        <v>-135.86568234775626</v>
      </c>
    </row>
    <row r="68" spans="1:31" ht="12.75">
      <c r="A68" s="16">
        <v>1</v>
      </c>
      <c r="B68" s="15">
        <f t="shared" si="16"/>
        <v>41275</v>
      </c>
      <c r="C68" s="248">
        <f t="shared" si="48"/>
        <v>41310</v>
      </c>
      <c r="D68" s="248">
        <f t="shared" si="48"/>
        <v>41325</v>
      </c>
      <c r="E68" s="123" t="s">
        <v>117</v>
      </c>
      <c r="F68" s="16">
        <v>9</v>
      </c>
      <c r="G68" s="73">
        <v>85</v>
      </c>
      <c r="H68" s="253">
        <f aca="true" t="shared" si="59" ref="H68:H73">$K$3</f>
        <v>1446.51</v>
      </c>
      <c r="I68" s="253">
        <f t="shared" si="49"/>
        <v>1491.39</v>
      </c>
      <c r="J68" s="56">
        <f t="shared" si="9"/>
        <v>126768.15000000001</v>
      </c>
      <c r="K68" s="57">
        <f t="shared" si="32"/>
        <v>122953.35</v>
      </c>
      <c r="L68" s="58">
        <f t="shared" si="53"/>
        <v>3814.800000000003</v>
      </c>
      <c r="M68" s="55">
        <f t="shared" si="37"/>
        <v>171.57506350808114</v>
      </c>
      <c r="N68" s="29">
        <f t="shared" si="54"/>
        <v>3986.375063508084</v>
      </c>
      <c r="O68" s="16">
        <f aca="true" t="shared" si="60" ref="O68:O91">IF($D68&lt;O$8,O$12,IF($D68&lt;P$8,P$8-$D68,0))</f>
        <v>40</v>
      </c>
      <c r="P68" s="16">
        <f aca="true" t="shared" si="61" ref="P68:P91">IF($D68&lt;P$8,P$12,IF($D68&lt;Q$8,Q$8-$D68,0))</f>
        <v>91</v>
      </c>
      <c r="Q68" s="16">
        <f aca="true" t="shared" si="62" ref="Q68:Q91">IF($D68&lt;Q$8,Q$12,IF($D68&lt;R$8,R$8-$D68,0))</f>
        <v>92</v>
      </c>
      <c r="R68" s="16">
        <f t="shared" si="58"/>
        <v>92</v>
      </c>
      <c r="S68" s="16">
        <f t="shared" si="58"/>
        <v>90</v>
      </c>
      <c r="T68" s="16">
        <f t="shared" si="58"/>
        <v>91</v>
      </c>
      <c r="U68" s="16">
        <f t="shared" si="58"/>
        <v>0</v>
      </c>
      <c r="V68" s="111">
        <f>IF(W$8&lt;V$8,0,IF($D68&lt;V$8,V$12,IF($D68&lt;W$8,W$8-$D68,0)))</f>
        <v>0</v>
      </c>
      <c r="W68" s="146">
        <f>$L68*O$11*O68</f>
        <v>13.586958904109599</v>
      </c>
      <c r="X68" s="63">
        <f>($L68+SUM($W68:W68))*(P$11*P68)</f>
        <v>31.02042309851757</v>
      </c>
      <c r="Y68" s="63">
        <f>($L68+SUM($W68:X68))*(Q$11*Q68)</f>
        <v>31.615419375857158</v>
      </c>
      <c r="Z68" s="63">
        <f>($L68+SUM($W68:Y68))*(R$11*R68)</f>
        <v>31.874405961977192</v>
      </c>
      <c r="AA68" s="63">
        <f>($L68+SUM($W68:Z68))*(S$11*S68)</f>
        <v>31.436915976632484</v>
      </c>
      <c r="AB68" s="63">
        <f>($L68+SUM($W68:AA68))*(T$11*T68)</f>
        <v>32.040940190987165</v>
      </c>
      <c r="AC68" s="63">
        <f>($L68+SUM($W68:AB68))*(U$11*U68)</f>
        <v>0</v>
      </c>
      <c r="AD68" s="63">
        <f>($L68+SUM($W68:AC68))*(V$11*V68)</f>
        <v>0</v>
      </c>
      <c r="AE68" s="115">
        <f aca="true" t="shared" si="63" ref="AE68:AE73">SUM(W68:AD68)</f>
        <v>171.57506350808114</v>
      </c>
    </row>
    <row r="69" spans="1:31" ht="12.75">
      <c r="A69" s="3">
        <v>2</v>
      </c>
      <c r="B69" s="15">
        <f t="shared" si="16"/>
        <v>41306</v>
      </c>
      <c r="C69" s="249">
        <f t="shared" si="48"/>
        <v>41338</v>
      </c>
      <c r="D69" s="249">
        <f t="shared" si="48"/>
        <v>41353</v>
      </c>
      <c r="E69" s="71" t="s">
        <v>117</v>
      </c>
      <c r="F69" s="3">
        <v>9</v>
      </c>
      <c r="G69" s="73">
        <v>82</v>
      </c>
      <c r="H69" s="253">
        <f t="shared" si="59"/>
        <v>1446.51</v>
      </c>
      <c r="I69" s="253">
        <f t="shared" si="49"/>
        <v>1491.39</v>
      </c>
      <c r="J69" s="56">
        <f t="shared" si="9"/>
        <v>122293.98000000001</v>
      </c>
      <c r="K69" s="57">
        <f t="shared" si="32"/>
        <v>118613.81999999999</v>
      </c>
      <c r="L69" s="58">
        <f t="shared" si="53"/>
        <v>3680.160000000018</v>
      </c>
      <c r="M69" s="55">
        <f t="shared" si="37"/>
        <v>155.9656419626432</v>
      </c>
      <c r="N69" s="29">
        <f t="shared" si="54"/>
        <v>3836.125641962661</v>
      </c>
      <c r="O69" s="16">
        <f t="shared" si="60"/>
        <v>12</v>
      </c>
      <c r="P69" s="16">
        <f t="shared" si="61"/>
        <v>91</v>
      </c>
      <c r="Q69" s="16">
        <f t="shared" si="62"/>
        <v>92</v>
      </c>
      <c r="R69" s="16">
        <f t="shared" si="58"/>
        <v>92</v>
      </c>
      <c r="S69" s="16">
        <f t="shared" si="58"/>
        <v>90</v>
      </c>
      <c r="T69" s="16">
        <f t="shared" si="58"/>
        <v>91</v>
      </c>
      <c r="U69" s="16">
        <f t="shared" si="58"/>
        <v>0</v>
      </c>
      <c r="V69" s="111">
        <f t="shared" si="17"/>
        <v>0</v>
      </c>
      <c r="W69" s="146">
        <f aca="true" t="shared" si="64" ref="W69:W79">$L69*O$11*O69</f>
        <v>3.9322257534246767</v>
      </c>
      <c r="X69" s="63">
        <f>($L69+SUM($W69:W69))*(P$11*P69)</f>
        <v>29.851240431961113</v>
      </c>
      <c r="Y69" s="63">
        <f>($L69+SUM($W69:X69))*(Q$11*Q69)</f>
        <v>30.42381085998454</v>
      </c>
      <c r="Z69" s="63">
        <f>($L69+SUM($W69:Y69))*(R$11*R69)</f>
        <v>30.673036050317013</v>
      </c>
      <c r="AA69" s="63">
        <f>($L69+SUM($W69:Z69))*(S$11*S69)</f>
        <v>30.25203538576695</v>
      </c>
      <c r="AB69" s="63">
        <f>($L69+SUM($W69:AA69))*(T$11*T69)</f>
        <v>30.833293481188917</v>
      </c>
      <c r="AC69" s="63">
        <f>($L69+SUM($W69:AB69))*(U$11*U69)</f>
        <v>0</v>
      </c>
      <c r="AD69" s="63">
        <f>($L69+SUM($W69:AC69))*(V$11*V69)</f>
        <v>0</v>
      </c>
      <c r="AE69" s="115">
        <f t="shared" si="63"/>
        <v>155.9656419626432</v>
      </c>
    </row>
    <row r="70" spans="1:31" ht="12.75">
      <c r="A70" s="3">
        <v>3</v>
      </c>
      <c r="B70" s="15">
        <f t="shared" si="16"/>
        <v>41334</v>
      </c>
      <c r="C70" s="249">
        <f t="shared" si="48"/>
        <v>41367</v>
      </c>
      <c r="D70" s="249">
        <f t="shared" si="48"/>
        <v>41382</v>
      </c>
      <c r="E70" s="71" t="s">
        <v>117</v>
      </c>
      <c r="F70" s="3">
        <v>9</v>
      </c>
      <c r="G70" s="73">
        <v>77</v>
      </c>
      <c r="H70" s="253">
        <f t="shared" si="59"/>
        <v>1446.51</v>
      </c>
      <c r="I70" s="253">
        <f t="shared" si="49"/>
        <v>1491.39</v>
      </c>
      <c r="J70" s="56">
        <f t="shared" si="9"/>
        <v>114837.03000000001</v>
      </c>
      <c r="K70" s="57">
        <f aca="true" t="shared" si="65" ref="K70:K133">+$G70*H70</f>
        <v>111381.27</v>
      </c>
      <c r="L70" s="58">
        <f>+J70-K70</f>
        <v>3455.7600000000093</v>
      </c>
      <c r="M70" s="55">
        <f t="shared" si="37"/>
        <v>137.20763824102428</v>
      </c>
      <c r="N70" s="29">
        <f>SUM(L70:M70)</f>
        <v>3592.9676382410335</v>
      </c>
      <c r="O70" s="16">
        <f aca="true" t="shared" si="66" ref="O70:U70">IF($D70&lt;O$8,O$12,IF($D70&lt;P$8,P$8-$D70,0))</f>
        <v>0</v>
      </c>
      <c r="P70" s="16">
        <f t="shared" si="66"/>
        <v>74</v>
      </c>
      <c r="Q70" s="16">
        <f t="shared" si="66"/>
        <v>92</v>
      </c>
      <c r="R70" s="16">
        <f t="shared" si="66"/>
        <v>92</v>
      </c>
      <c r="S70" s="16">
        <f t="shared" si="66"/>
        <v>90</v>
      </c>
      <c r="T70" s="16">
        <f t="shared" si="66"/>
        <v>91</v>
      </c>
      <c r="U70" s="16">
        <f t="shared" si="66"/>
        <v>0</v>
      </c>
      <c r="V70" s="111">
        <f>IF(W$8&lt;V$8,0,IF($D70&lt;V$8,V$12,IF($D70&lt;W$8,W$8-$D70,0)))</f>
        <v>0</v>
      </c>
      <c r="W70" s="146">
        <f>$L70*O$11*O70</f>
        <v>0</v>
      </c>
      <c r="X70" s="63">
        <f>($L70+SUM($W70:W70))*(P$11*P70)</f>
        <v>22.770144657534306</v>
      </c>
      <c r="Y70" s="63">
        <f>($L70+SUM($W70:X70))*(Q$11*Q70)</f>
        <v>28.49535652746864</v>
      </c>
      <c r="Z70" s="63">
        <f>($L70+SUM($W70:Y70))*(R$11*R70)</f>
        <v>28.72878424258407</v>
      </c>
      <c r="AA70" s="63">
        <f>($L70+SUM($W70:Z70))*(S$11*S70)</f>
        <v>28.334469273632106</v>
      </c>
      <c r="AB70" s="63">
        <f>($L70+SUM($W70:AA70))*(T$11*T70)</f>
        <v>28.87888353980516</v>
      </c>
      <c r="AC70" s="63">
        <f>($L70+SUM($W70:AB70))*(U$11*U70)</f>
        <v>0</v>
      </c>
      <c r="AD70" s="63">
        <f>($L70+SUM($W70:AC70))*(V$11*V70)</f>
        <v>0</v>
      </c>
      <c r="AE70" s="115">
        <f t="shared" si="63"/>
        <v>137.20763824102428</v>
      </c>
    </row>
    <row r="71" spans="1:31" ht="12.75">
      <c r="A71" s="16">
        <v>4</v>
      </c>
      <c r="B71" s="15">
        <f t="shared" si="16"/>
        <v>41365</v>
      </c>
      <c r="C71" s="249">
        <f t="shared" si="48"/>
        <v>41397</v>
      </c>
      <c r="D71" s="249">
        <f t="shared" si="48"/>
        <v>41414</v>
      </c>
      <c r="E71" s="71" t="s">
        <v>117</v>
      </c>
      <c r="F71" s="3">
        <v>9</v>
      </c>
      <c r="G71" s="73">
        <v>89</v>
      </c>
      <c r="H71" s="253">
        <f t="shared" si="59"/>
        <v>1446.51</v>
      </c>
      <c r="I71" s="253">
        <f t="shared" si="49"/>
        <v>1491.39</v>
      </c>
      <c r="J71" s="56">
        <f t="shared" si="9"/>
        <v>132733.71000000002</v>
      </c>
      <c r="K71" s="57">
        <f t="shared" si="65"/>
        <v>128739.39</v>
      </c>
      <c r="L71" s="58">
        <f aca="true" t="shared" si="67" ref="L71:L81">+J71-K71</f>
        <v>3994.3200000000215</v>
      </c>
      <c r="M71" s="55">
        <f t="shared" si="37"/>
        <v>146.83515334351455</v>
      </c>
      <c r="N71" s="29">
        <f aca="true" t="shared" si="68" ref="N71:N81">SUM(L71:M71)</f>
        <v>4141.155153343536</v>
      </c>
      <c r="O71" s="16">
        <f t="shared" si="60"/>
        <v>0</v>
      </c>
      <c r="P71" s="16">
        <f t="shared" si="61"/>
        <v>42</v>
      </c>
      <c r="Q71" s="16">
        <f t="shared" si="62"/>
        <v>92</v>
      </c>
      <c r="R71" s="16">
        <f t="shared" si="58"/>
        <v>92</v>
      </c>
      <c r="S71" s="16">
        <f t="shared" si="58"/>
        <v>90</v>
      </c>
      <c r="T71" s="16">
        <f t="shared" si="58"/>
        <v>91</v>
      </c>
      <c r="U71" s="16">
        <f t="shared" si="58"/>
        <v>0</v>
      </c>
      <c r="V71" s="111">
        <f t="shared" si="17"/>
        <v>0</v>
      </c>
      <c r="W71" s="146">
        <f t="shared" si="64"/>
        <v>0</v>
      </c>
      <c r="X71" s="63">
        <f>($L71+SUM($W71:W71))*(P$11*P71)</f>
        <v>14.937662465753505</v>
      </c>
      <c r="Y71" s="63">
        <f>($L71+SUM($W71:X71))*(Q$11*Q71)</f>
        <v>32.84296002951415</v>
      </c>
      <c r="Z71" s="63">
        <f>($L71+SUM($W71:Y71))*(R$11*R71)</f>
        <v>33.11200235961894</v>
      </c>
      <c r="AA71" s="63">
        <f>($L71+SUM($W71:Z71))*(S$11*S71)</f>
        <v>32.657525829316725</v>
      </c>
      <c r="AB71" s="63">
        <f>($L71+SUM($W71:AA71))*(T$11*T71)</f>
        <v>33.28500265931122</v>
      </c>
      <c r="AC71" s="63">
        <f>($L71+SUM($W71:AB71))*(U$11*U71)</f>
        <v>0</v>
      </c>
      <c r="AD71" s="63">
        <f>($L71+SUM($W71:AC71))*(V$11*V71)</f>
        <v>0</v>
      </c>
      <c r="AE71" s="115">
        <f t="shared" si="63"/>
        <v>146.83515334351455</v>
      </c>
    </row>
    <row r="72" spans="1:31" ht="12.75">
      <c r="A72" s="3">
        <v>5</v>
      </c>
      <c r="B72" s="15">
        <f t="shared" si="16"/>
        <v>41395</v>
      </c>
      <c r="C72" s="249">
        <f aca="true" t="shared" si="69" ref="C72:D91">+C60</f>
        <v>41430</v>
      </c>
      <c r="D72" s="249">
        <f t="shared" si="69"/>
        <v>41445</v>
      </c>
      <c r="E72" s="30" t="s">
        <v>117</v>
      </c>
      <c r="F72" s="3">
        <v>9</v>
      </c>
      <c r="G72" s="73">
        <v>128</v>
      </c>
      <c r="H72" s="253">
        <f t="shared" si="59"/>
        <v>1446.51</v>
      </c>
      <c r="I72" s="253">
        <f t="shared" si="49"/>
        <v>1491.39</v>
      </c>
      <c r="J72" s="56">
        <f t="shared" si="9"/>
        <v>190897.92</v>
      </c>
      <c r="K72" s="57">
        <f t="shared" si="65"/>
        <v>185153.28</v>
      </c>
      <c r="L72" s="58">
        <f t="shared" si="67"/>
        <v>5744.640000000014</v>
      </c>
      <c r="M72" s="55">
        <f t="shared" si="37"/>
        <v>194.80020718657582</v>
      </c>
      <c r="N72" s="29">
        <f t="shared" si="68"/>
        <v>5939.44020718659</v>
      </c>
      <c r="O72" s="16">
        <f t="shared" si="60"/>
        <v>0</v>
      </c>
      <c r="P72" s="16">
        <f t="shared" si="61"/>
        <v>11</v>
      </c>
      <c r="Q72" s="16">
        <f t="shared" si="62"/>
        <v>92</v>
      </c>
      <c r="R72" s="16">
        <f t="shared" si="58"/>
        <v>92</v>
      </c>
      <c r="S72" s="16">
        <f t="shared" si="58"/>
        <v>90</v>
      </c>
      <c r="T72" s="16">
        <f t="shared" si="58"/>
        <v>91</v>
      </c>
      <c r="U72" s="16">
        <f t="shared" si="58"/>
        <v>0</v>
      </c>
      <c r="V72" s="111">
        <f t="shared" si="17"/>
        <v>0</v>
      </c>
      <c r="W72" s="146">
        <f t="shared" si="64"/>
        <v>0</v>
      </c>
      <c r="X72" s="63">
        <f>($L72+SUM($W72:W72))*(P$11*P72)</f>
        <v>5.6265994520548075</v>
      </c>
      <c r="Y72" s="63">
        <f>($L72+SUM($W72:X72))*(Q$11*Q72)</f>
        <v>47.10492365030598</v>
      </c>
      <c r="Z72" s="63">
        <f>($L72+SUM($W72:Y72))*(R$11*R72)</f>
        <v>47.49079686048246</v>
      </c>
      <c r="AA72" s="63">
        <f>($L72+SUM($W72:Z72))*(S$11*S72)</f>
        <v>46.83896516682563</v>
      </c>
      <c r="AB72" s="63">
        <f>($L72+SUM($W72:AA72))*(T$11*T72)</f>
        <v>47.73892205690695</v>
      </c>
      <c r="AC72" s="63">
        <f>($L72+SUM($W72:AB72))*(U$11*U72)</f>
        <v>0</v>
      </c>
      <c r="AD72" s="63">
        <f>($L72+SUM($W72:AC72))*(V$11*V72)</f>
        <v>0</v>
      </c>
      <c r="AE72" s="115">
        <f t="shared" si="63"/>
        <v>194.80020718657582</v>
      </c>
    </row>
    <row r="73" spans="1:31" ht="12.75">
      <c r="A73" s="3">
        <v>6</v>
      </c>
      <c r="B73" s="15">
        <f t="shared" si="16"/>
        <v>41426</v>
      </c>
      <c r="C73" s="249">
        <f t="shared" si="69"/>
        <v>41460</v>
      </c>
      <c r="D73" s="249">
        <f t="shared" si="69"/>
        <v>41477</v>
      </c>
      <c r="E73" s="30" t="s">
        <v>117</v>
      </c>
      <c r="F73" s="3">
        <v>9</v>
      </c>
      <c r="G73" s="73">
        <v>158</v>
      </c>
      <c r="H73" s="253">
        <f t="shared" si="59"/>
        <v>1446.51</v>
      </c>
      <c r="I73" s="253">
        <f t="shared" si="49"/>
        <v>1491.39</v>
      </c>
      <c r="J73" s="56">
        <f t="shared" si="9"/>
        <v>235639.62000000002</v>
      </c>
      <c r="K73" s="57">
        <f t="shared" si="65"/>
        <v>228548.58</v>
      </c>
      <c r="L73" s="79">
        <f t="shared" si="67"/>
        <v>7091.040000000037</v>
      </c>
      <c r="M73" s="80">
        <f t="shared" si="37"/>
        <v>219.69848155876727</v>
      </c>
      <c r="N73" s="78">
        <f t="shared" si="68"/>
        <v>7310.738481558805</v>
      </c>
      <c r="O73" s="16">
        <f t="shared" si="60"/>
        <v>0</v>
      </c>
      <c r="P73" s="16">
        <f t="shared" si="61"/>
        <v>0</v>
      </c>
      <c r="Q73" s="16">
        <f t="shared" si="62"/>
        <v>71</v>
      </c>
      <c r="R73" s="16">
        <f t="shared" si="58"/>
        <v>92</v>
      </c>
      <c r="S73" s="16">
        <f t="shared" si="58"/>
        <v>90</v>
      </c>
      <c r="T73" s="16">
        <f t="shared" si="58"/>
        <v>91</v>
      </c>
      <c r="U73" s="16">
        <f t="shared" si="58"/>
        <v>0</v>
      </c>
      <c r="V73" s="111">
        <f t="shared" si="17"/>
        <v>0</v>
      </c>
      <c r="W73" s="146">
        <f t="shared" si="64"/>
        <v>0</v>
      </c>
      <c r="X73" s="63">
        <f>($L73+SUM($W73:W73))*(P$11*P73)</f>
        <v>0</v>
      </c>
      <c r="Y73" s="63">
        <f>($L73+SUM($W73:X73))*(Q$11*Q73)</f>
        <v>44.828972054794754</v>
      </c>
      <c r="Z73" s="63">
        <f>($L73+SUM($W73:Y73))*(R$11*R73)</f>
        <v>58.455474592997106</v>
      </c>
      <c r="AA73" s="63">
        <f>($L73+SUM($W73:Z73))*(S$11*S73)</f>
        <v>57.65314796286273</v>
      </c>
      <c r="AB73" s="63">
        <f>($L73+SUM($W73:AA73))*(T$11*T73)</f>
        <v>58.76088694811266</v>
      </c>
      <c r="AC73" s="63">
        <f>($L73+SUM($W73:AB73))*(U$11*U73)</f>
        <v>0</v>
      </c>
      <c r="AD73" s="63">
        <f>($L73+SUM($W73:AC73))*(V$11*V73)</f>
        <v>0</v>
      </c>
      <c r="AE73" s="115">
        <f t="shared" si="63"/>
        <v>219.69848155876727</v>
      </c>
    </row>
    <row r="74" spans="1:31" ht="12.75">
      <c r="A74" s="16">
        <v>7</v>
      </c>
      <c r="B74" s="15">
        <f t="shared" si="16"/>
        <v>41456</v>
      </c>
      <c r="C74" s="249">
        <f t="shared" si="69"/>
        <v>41491</v>
      </c>
      <c r="D74" s="249">
        <f t="shared" si="69"/>
        <v>41506</v>
      </c>
      <c r="E74" s="30" t="s">
        <v>117</v>
      </c>
      <c r="F74" s="3">
        <v>9</v>
      </c>
      <c r="G74" s="73">
        <v>155</v>
      </c>
      <c r="H74" s="253">
        <f aca="true" t="shared" si="70" ref="H74:H79">$K$8</f>
        <v>1586.22</v>
      </c>
      <c r="I74" s="253">
        <f t="shared" si="49"/>
        <v>1491.39</v>
      </c>
      <c r="J74" s="56">
        <f t="shared" si="9"/>
        <v>231165.45</v>
      </c>
      <c r="K74" s="76">
        <f t="shared" si="65"/>
        <v>245864.1</v>
      </c>
      <c r="L74" s="79">
        <f t="shared" si="67"/>
        <v>-14698.649999999994</v>
      </c>
      <c r="M74" s="77">
        <f aca="true" t="shared" si="71" ref="M74:M137">+AE74</f>
        <v>-416.5167767635004</v>
      </c>
      <c r="N74" s="78">
        <f t="shared" si="68"/>
        <v>-15115.166776763495</v>
      </c>
      <c r="O74" s="16">
        <f t="shared" si="60"/>
        <v>0</v>
      </c>
      <c r="P74" s="16">
        <f t="shared" si="61"/>
        <v>0</v>
      </c>
      <c r="Q74" s="16">
        <f t="shared" si="62"/>
        <v>42</v>
      </c>
      <c r="R74" s="16">
        <f t="shared" si="58"/>
        <v>92</v>
      </c>
      <c r="S74" s="16">
        <f t="shared" si="58"/>
        <v>90</v>
      </c>
      <c r="T74" s="16">
        <f t="shared" si="58"/>
        <v>91</v>
      </c>
      <c r="U74" s="16">
        <f t="shared" si="58"/>
        <v>0</v>
      </c>
      <c r="V74" s="111">
        <f t="shared" si="17"/>
        <v>0</v>
      </c>
      <c r="W74" s="146">
        <f t="shared" si="64"/>
        <v>0</v>
      </c>
      <c r="X74" s="63">
        <f>($L74+SUM($W74:W74))*(P$11*P74)</f>
        <v>0</v>
      </c>
      <c r="Y74" s="63">
        <f>($L74+SUM($W74:X74))*(Q$11*Q74)</f>
        <v>-54.96892397260272</v>
      </c>
      <c r="Z74" s="63">
        <f>($L74+SUM($W74:Y74))*(R$11*R74)</f>
        <v>-120.85841255528236</v>
      </c>
      <c r="AA74" s="63">
        <f>($L74+SUM($W74:Z74))*(S$11*S74)</f>
        <v>-119.19957865573711</v>
      </c>
      <c r="AB74" s="63">
        <f>($L74+SUM($W74:AA74))*(T$11*T74)</f>
        <v>-121.48986157987821</v>
      </c>
      <c r="AC74" s="63">
        <f>($L74+SUM($W74:AB74))*(U$11*U74)</f>
        <v>0</v>
      </c>
      <c r="AD74" s="63">
        <f>($L74+SUM($W74:AC74))*(V$11*V74)</f>
        <v>0</v>
      </c>
      <c r="AE74" s="115">
        <f aca="true" t="shared" si="72" ref="AE74:AE79">SUM(W74:AD74)</f>
        <v>-416.5167767635004</v>
      </c>
    </row>
    <row r="75" spans="1:31" ht="12.75">
      <c r="A75" s="3">
        <v>8</v>
      </c>
      <c r="B75" s="15">
        <f t="shared" si="16"/>
        <v>41487</v>
      </c>
      <c r="C75" s="249">
        <f t="shared" si="69"/>
        <v>41522</v>
      </c>
      <c r="D75" s="249">
        <f t="shared" si="69"/>
        <v>41537</v>
      </c>
      <c r="E75" s="30" t="s">
        <v>117</v>
      </c>
      <c r="F75" s="3">
        <v>9</v>
      </c>
      <c r="G75" s="73">
        <v>160</v>
      </c>
      <c r="H75" s="253">
        <f t="shared" si="70"/>
        <v>1586.22</v>
      </c>
      <c r="I75" s="253">
        <f t="shared" si="49"/>
        <v>1491.39</v>
      </c>
      <c r="J75" s="56">
        <f t="shared" si="9"/>
        <v>238622.40000000002</v>
      </c>
      <c r="K75" s="76">
        <f t="shared" si="65"/>
        <v>253795.2</v>
      </c>
      <c r="L75" s="79">
        <f t="shared" si="67"/>
        <v>-15172.799999999988</v>
      </c>
      <c r="M75" s="77">
        <f t="shared" si="71"/>
        <v>-387.04539132038315</v>
      </c>
      <c r="N75" s="78">
        <f t="shared" si="68"/>
        <v>-15559.845391320372</v>
      </c>
      <c r="O75" s="16">
        <f t="shared" si="60"/>
        <v>0</v>
      </c>
      <c r="P75" s="16">
        <f t="shared" si="61"/>
        <v>0</v>
      </c>
      <c r="Q75" s="16">
        <f t="shared" si="62"/>
        <v>11</v>
      </c>
      <c r="R75" s="16">
        <f t="shared" si="58"/>
        <v>92</v>
      </c>
      <c r="S75" s="16">
        <f t="shared" si="58"/>
        <v>90</v>
      </c>
      <c r="T75" s="16">
        <f t="shared" si="58"/>
        <v>91</v>
      </c>
      <c r="U75" s="16">
        <f t="shared" si="58"/>
        <v>0</v>
      </c>
      <c r="V75" s="111">
        <f t="shared" si="17"/>
        <v>0</v>
      </c>
      <c r="W75" s="146">
        <f t="shared" si="64"/>
        <v>0</v>
      </c>
      <c r="X75" s="63">
        <f>($L75+SUM($W75:W75))*(P$11*P75)</f>
        <v>0</v>
      </c>
      <c r="Y75" s="63">
        <f>($L75+SUM($W75:X75))*(Q$11*Q75)</f>
        <v>-14.861030136986288</v>
      </c>
      <c r="Z75" s="63">
        <f>($L75+SUM($W75:Y75))*(R$11*R75)</f>
        <v>-124.41399035646452</v>
      </c>
      <c r="AA75" s="63">
        <f>($L75+SUM($W75:Z75))*(S$11*S75)</f>
        <v>-122.70635461628304</v>
      </c>
      <c r="AB75" s="63">
        <f>($L75+SUM($W75:AA75))*(T$11*T75)</f>
        <v>-125.06401621064933</v>
      </c>
      <c r="AC75" s="63">
        <f>($L75+SUM($W75:AB75))*(U$11*U75)</f>
        <v>0</v>
      </c>
      <c r="AD75" s="63">
        <f>($L75+SUM($W75:AC75))*(V$11*V75)</f>
        <v>0</v>
      </c>
      <c r="AE75" s="115">
        <f t="shared" si="72"/>
        <v>-387.04539132038315</v>
      </c>
    </row>
    <row r="76" spans="1:31" ht="12.75">
      <c r="A76" s="3">
        <v>9</v>
      </c>
      <c r="B76" s="15">
        <f t="shared" si="16"/>
        <v>41518</v>
      </c>
      <c r="C76" s="249">
        <f t="shared" si="69"/>
        <v>41550</v>
      </c>
      <c r="D76" s="249">
        <f t="shared" si="69"/>
        <v>41565</v>
      </c>
      <c r="E76" s="30" t="s">
        <v>117</v>
      </c>
      <c r="F76" s="3">
        <v>9</v>
      </c>
      <c r="G76" s="73">
        <v>142</v>
      </c>
      <c r="H76" s="253">
        <f t="shared" si="70"/>
        <v>1586.22</v>
      </c>
      <c r="I76" s="253">
        <f t="shared" si="49"/>
        <v>1491.39</v>
      </c>
      <c r="J76" s="56">
        <f t="shared" si="9"/>
        <v>211777.38</v>
      </c>
      <c r="K76" s="76">
        <f t="shared" si="65"/>
        <v>225243.24</v>
      </c>
      <c r="L76" s="79">
        <f t="shared" si="67"/>
        <v>-13465.859999999986</v>
      </c>
      <c r="M76" s="77">
        <f t="shared" si="71"/>
        <v>-309.2773279307495</v>
      </c>
      <c r="N76" s="78">
        <f t="shared" si="68"/>
        <v>-13775.137327930735</v>
      </c>
      <c r="O76" s="16">
        <f t="shared" si="60"/>
        <v>0</v>
      </c>
      <c r="P76" s="16">
        <f t="shared" si="61"/>
        <v>0</v>
      </c>
      <c r="Q76" s="16">
        <f t="shared" si="62"/>
        <v>0</v>
      </c>
      <c r="R76" s="16">
        <f t="shared" si="58"/>
        <v>75</v>
      </c>
      <c r="S76" s="16">
        <f t="shared" si="58"/>
        <v>90</v>
      </c>
      <c r="T76" s="16">
        <f t="shared" si="58"/>
        <v>91</v>
      </c>
      <c r="U76" s="16">
        <f t="shared" si="58"/>
        <v>0</v>
      </c>
      <c r="V76" s="111">
        <f t="shared" si="17"/>
        <v>0</v>
      </c>
      <c r="W76" s="146">
        <f t="shared" si="64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-89.92611986301361</v>
      </c>
      <c r="AA76" s="63">
        <f>($L76+SUM($W76:Z76))*(S$11*S76)</f>
        <v>-108.63198465917608</v>
      </c>
      <c r="AB76" s="63">
        <f>($L76+SUM($W76:AA76))*(T$11*T76)</f>
        <v>-110.71922340855983</v>
      </c>
      <c r="AC76" s="63">
        <f>($L76+SUM($W76:AB76))*(U$11*U76)</f>
        <v>0</v>
      </c>
      <c r="AD76" s="63">
        <f>($L76+SUM($W76:AC76))*(V$11*V76)</f>
        <v>0</v>
      </c>
      <c r="AE76" s="115">
        <f t="shared" si="72"/>
        <v>-309.2773279307495</v>
      </c>
    </row>
    <row r="77" spans="1:31" ht="12.75">
      <c r="A77" s="16">
        <v>10</v>
      </c>
      <c r="B77" s="15">
        <f t="shared" si="16"/>
        <v>41548</v>
      </c>
      <c r="C77" s="249">
        <f t="shared" si="69"/>
        <v>41583</v>
      </c>
      <c r="D77" s="249">
        <f t="shared" si="69"/>
        <v>41598</v>
      </c>
      <c r="E77" s="30" t="s">
        <v>117</v>
      </c>
      <c r="F77" s="3">
        <v>9</v>
      </c>
      <c r="G77" s="73">
        <v>118</v>
      </c>
      <c r="H77" s="253">
        <f t="shared" si="70"/>
        <v>1586.22</v>
      </c>
      <c r="I77" s="253">
        <f t="shared" si="49"/>
        <v>1491.39</v>
      </c>
      <c r="J77" s="56">
        <f t="shared" si="9"/>
        <v>175984.02000000002</v>
      </c>
      <c r="K77" s="76">
        <f t="shared" si="65"/>
        <v>187173.96</v>
      </c>
      <c r="L77" s="79">
        <f t="shared" si="67"/>
        <v>-11189.939999999973</v>
      </c>
      <c r="M77" s="77">
        <f t="shared" si="71"/>
        <v>-223.59303035415476</v>
      </c>
      <c r="N77" s="78">
        <f t="shared" si="68"/>
        <v>-11413.533030354129</v>
      </c>
      <c r="O77" s="16">
        <f t="shared" si="60"/>
        <v>0</v>
      </c>
      <c r="P77" s="16">
        <f t="shared" si="61"/>
        <v>0</v>
      </c>
      <c r="Q77" s="16">
        <f t="shared" si="62"/>
        <v>0</v>
      </c>
      <c r="R77" s="16">
        <f t="shared" si="58"/>
        <v>42</v>
      </c>
      <c r="S77" s="16">
        <f t="shared" si="58"/>
        <v>90</v>
      </c>
      <c r="T77" s="16">
        <f t="shared" si="58"/>
        <v>91</v>
      </c>
      <c r="U77" s="16">
        <f t="shared" si="58"/>
        <v>0</v>
      </c>
      <c r="V77" s="111">
        <f t="shared" si="17"/>
        <v>0</v>
      </c>
      <c r="W77" s="146">
        <f t="shared" si="64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-41.8473098630136</v>
      </c>
      <c r="AA77" s="63">
        <f>($L77+SUM($W77:Z77))*(S$11*S77)</f>
        <v>-90.00815857903899</v>
      </c>
      <c r="AB77" s="63">
        <f>($L77+SUM($W77:AA77))*(T$11*T77)</f>
        <v>-91.73756191210217</v>
      </c>
      <c r="AC77" s="63">
        <f>($L77+SUM($W77:AB77))*(U$11*U77)</f>
        <v>0</v>
      </c>
      <c r="AD77" s="63">
        <f>($L77+SUM($W77:AC77))*(V$11*V77)</f>
        <v>0</v>
      </c>
      <c r="AE77" s="115">
        <f t="shared" si="72"/>
        <v>-223.59303035415476</v>
      </c>
    </row>
    <row r="78" spans="1:31" ht="12.75">
      <c r="A78" s="3">
        <v>11</v>
      </c>
      <c r="B78" s="15">
        <f t="shared" si="16"/>
        <v>41579</v>
      </c>
      <c r="C78" s="249">
        <f t="shared" si="69"/>
        <v>41612</v>
      </c>
      <c r="D78" s="249">
        <f t="shared" si="69"/>
        <v>41627</v>
      </c>
      <c r="E78" s="30" t="s">
        <v>117</v>
      </c>
      <c r="F78" s="3">
        <v>9</v>
      </c>
      <c r="G78" s="73">
        <v>76</v>
      </c>
      <c r="H78" s="253">
        <f t="shared" si="70"/>
        <v>1586.22</v>
      </c>
      <c r="I78" s="253">
        <f t="shared" si="49"/>
        <v>1491.39</v>
      </c>
      <c r="J78" s="56">
        <f t="shared" si="9"/>
        <v>113345.64000000001</v>
      </c>
      <c r="K78" s="76">
        <f t="shared" si="65"/>
        <v>120552.72</v>
      </c>
      <c r="L78" s="79">
        <f t="shared" si="67"/>
        <v>-7207.079999999987</v>
      </c>
      <c r="M78" s="77">
        <f t="shared" si="71"/>
        <v>-125.09787132330823</v>
      </c>
      <c r="N78" s="78">
        <f t="shared" si="68"/>
        <v>-7332.177871323295</v>
      </c>
      <c r="O78" s="16">
        <f t="shared" si="60"/>
        <v>0</v>
      </c>
      <c r="P78" s="16">
        <f t="shared" si="61"/>
        <v>0</v>
      </c>
      <c r="Q78" s="16">
        <f t="shared" si="62"/>
        <v>0</v>
      </c>
      <c r="R78" s="16">
        <f aca="true" t="shared" si="73" ref="R78:R101">IF($D78&lt;R$8,R$12,IF($D78&lt;S$8,S$8-$D78,0))</f>
        <v>13</v>
      </c>
      <c r="S78" s="16">
        <f aca="true" t="shared" si="74" ref="S78:U101">IF($D78&lt;S$8,S$12,IF($D78&lt;T$8,T$8-$D78,0))</f>
        <v>90</v>
      </c>
      <c r="T78" s="16">
        <f t="shared" si="74"/>
        <v>91</v>
      </c>
      <c r="U78" s="16">
        <f t="shared" si="74"/>
        <v>0</v>
      </c>
      <c r="V78" s="111">
        <f t="shared" si="17"/>
        <v>0</v>
      </c>
      <c r="W78" s="146">
        <f t="shared" si="64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-8.342441917808204</v>
      </c>
      <c r="AA78" s="63">
        <f>($L78+SUM($W78:Z78))*(S$11*S78)</f>
        <v>-57.8222209386563</v>
      </c>
      <c r="AB78" s="63">
        <f>($L78+SUM($W78:AA78))*(T$11*T78)</f>
        <v>-58.933208466843716</v>
      </c>
      <c r="AC78" s="63">
        <f>($L78+SUM($W78:AB78))*(U$11*U78)</f>
        <v>0</v>
      </c>
      <c r="AD78" s="63">
        <f>($L78+SUM($W78:AC78))*(V$11*V78)</f>
        <v>0</v>
      </c>
      <c r="AE78" s="115">
        <f t="shared" si="72"/>
        <v>-125.09787132330823</v>
      </c>
    </row>
    <row r="79" spans="1:31" s="70" customFormat="1" ht="12.75">
      <c r="A79" s="3">
        <v>12</v>
      </c>
      <c r="B79" s="87">
        <f t="shared" si="16"/>
        <v>41609</v>
      </c>
      <c r="C79" s="249">
        <f t="shared" si="69"/>
        <v>41280</v>
      </c>
      <c r="D79" s="249">
        <f t="shared" si="69"/>
        <v>41295</v>
      </c>
      <c r="E79" s="88" t="s">
        <v>117</v>
      </c>
      <c r="F79" s="84">
        <v>9</v>
      </c>
      <c r="G79" s="89">
        <v>92</v>
      </c>
      <c r="H79" s="254">
        <f t="shared" si="70"/>
        <v>1586.22</v>
      </c>
      <c r="I79" s="254">
        <f t="shared" si="49"/>
        <v>1491.39</v>
      </c>
      <c r="J79" s="90">
        <f t="shared" si="9"/>
        <v>137207.88</v>
      </c>
      <c r="K79" s="91">
        <f t="shared" si="65"/>
        <v>145932.24</v>
      </c>
      <c r="L79" s="92">
        <f t="shared" si="67"/>
        <v>-8724.359999999986</v>
      </c>
      <c r="M79" s="93">
        <f t="shared" si="71"/>
        <v>-416.65475919978604</v>
      </c>
      <c r="N79" s="94">
        <f t="shared" si="68"/>
        <v>-9141.014759199772</v>
      </c>
      <c r="O79" s="84">
        <f t="shared" si="60"/>
        <v>70</v>
      </c>
      <c r="P79" s="84">
        <f t="shared" si="61"/>
        <v>91</v>
      </c>
      <c r="Q79" s="84">
        <f t="shared" si="62"/>
        <v>92</v>
      </c>
      <c r="R79" s="84">
        <f t="shared" si="73"/>
        <v>92</v>
      </c>
      <c r="S79" s="84">
        <f t="shared" si="74"/>
        <v>90</v>
      </c>
      <c r="T79" s="84">
        <f t="shared" si="74"/>
        <v>91</v>
      </c>
      <c r="U79" s="84">
        <f t="shared" si="74"/>
        <v>0</v>
      </c>
      <c r="V79" s="112">
        <f t="shared" si="17"/>
        <v>0</v>
      </c>
      <c r="W79" s="147">
        <f t="shared" si="64"/>
        <v>-54.377860273972516</v>
      </c>
      <c r="X79" s="95">
        <f>($L79+SUM($W79:W79))*(P$11*P79)</f>
        <v>-71.13182800482257</v>
      </c>
      <c r="Y79" s="95">
        <f>($L79+SUM($W79:X79))*(Q$11*Q79)</f>
        <v>-72.49619278891385</v>
      </c>
      <c r="Z79" s="95">
        <f>($L79+SUM($W79:Y79))*(R$11*R79)</f>
        <v>-73.09006571066412</v>
      </c>
      <c r="AA79" s="95">
        <f>($L79+SUM($W79:Z79))*(S$11*S79)</f>
        <v>-72.08687299815533</v>
      </c>
      <c r="AB79" s="95">
        <f>($L79+SUM($W79:AA79))*(T$11*T79)</f>
        <v>-73.47193942325765</v>
      </c>
      <c r="AC79" s="95">
        <f>($L79+SUM($W79:AB79))*(U$11*U79)</f>
        <v>0</v>
      </c>
      <c r="AD79" s="95">
        <f>($L79+SUM($W79:AC79))*(V$11*V79)</f>
        <v>0</v>
      </c>
      <c r="AE79" s="116">
        <f t="shared" si="72"/>
        <v>-416.65475919978604</v>
      </c>
    </row>
    <row r="80" spans="1:31" ht="12.75">
      <c r="A80" s="16">
        <v>1</v>
      </c>
      <c r="B80" s="15">
        <f t="shared" si="16"/>
        <v>41275</v>
      </c>
      <c r="C80" s="248">
        <f t="shared" si="69"/>
        <v>41310</v>
      </c>
      <c r="D80" s="248">
        <f t="shared" si="69"/>
        <v>41325</v>
      </c>
      <c r="E80" s="123" t="s">
        <v>144</v>
      </c>
      <c r="F80" s="16">
        <v>9</v>
      </c>
      <c r="G80" s="73">
        <v>19</v>
      </c>
      <c r="H80" s="253">
        <f aca="true" t="shared" si="75" ref="H80:H85">$K$3</f>
        <v>1446.51</v>
      </c>
      <c r="I80" s="253">
        <f t="shared" si="49"/>
        <v>1491.39</v>
      </c>
      <c r="J80" s="56">
        <f t="shared" si="9"/>
        <v>28336.410000000003</v>
      </c>
      <c r="K80" s="57">
        <f t="shared" si="65"/>
        <v>27483.69</v>
      </c>
      <c r="L80" s="58">
        <f t="shared" si="67"/>
        <v>852.7200000000048</v>
      </c>
      <c r="M80" s="55">
        <f t="shared" si="71"/>
        <v>38.35207301945363</v>
      </c>
      <c r="N80" s="29">
        <f t="shared" si="68"/>
        <v>891.0720730194585</v>
      </c>
      <c r="O80" s="16">
        <f t="shared" si="60"/>
        <v>40</v>
      </c>
      <c r="P80" s="16">
        <f t="shared" si="61"/>
        <v>91</v>
      </c>
      <c r="Q80" s="16">
        <f t="shared" si="62"/>
        <v>92</v>
      </c>
      <c r="R80" s="16">
        <f t="shared" si="73"/>
        <v>92</v>
      </c>
      <c r="S80" s="16">
        <f t="shared" si="74"/>
        <v>90</v>
      </c>
      <c r="T80" s="16">
        <f t="shared" si="74"/>
        <v>91</v>
      </c>
      <c r="U80" s="16">
        <f t="shared" si="74"/>
        <v>0</v>
      </c>
      <c r="V80" s="111">
        <f>IF(W$8&lt;V$8,0,IF($D80&lt;V$8,V$12,IF($D80&lt;W$8,W$8-$D80,0)))</f>
        <v>0</v>
      </c>
      <c r="W80" s="146">
        <f>$L80*O$11*O80</f>
        <v>3.0370849315068664</v>
      </c>
      <c r="X80" s="63">
        <f>($L80+SUM($W80:W80))*(P$11*P80)</f>
        <v>6.933976927903961</v>
      </c>
      <c r="Y80" s="63">
        <f>($L80+SUM($W80:X80))*(Q$11*Q80)</f>
        <v>7.06697609577987</v>
      </c>
      <c r="Z80" s="63">
        <f>($L80+SUM($W80:Y80))*(R$11*R80)</f>
        <v>7.124867215030231</v>
      </c>
      <c r="AA80" s="63">
        <f>($L80+SUM($W80:Z80))*(S$11*S80)</f>
        <v>7.027075335953178</v>
      </c>
      <c r="AB80" s="63">
        <f>($L80+SUM($W80:AA80))*(T$11*T80)</f>
        <v>7.162092513279519</v>
      </c>
      <c r="AC80" s="63">
        <f>($L80+SUM($W80:AB80))*(U$11*U80)</f>
        <v>0</v>
      </c>
      <c r="AD80" s="63">
        <f>($L80+SUM($W80:AC80))*(V$11*V80)</f>
        <v>0</v>
      </c>
      <c r="AE80" s="115">
        <f aca="true" t="shared" si="76" ref="AE80:AE85">SUM(W80:AD80)</f>
        <v>38.35207301945363</v>
      </c>
    </row>
    <row r="81" spans="1:31" ht="12.75">
      <c r="A81" s="3">
        <v>2</v>
      </c>
      <c r="B81" s="15">
        <f t="shared" si="16"/>
        <v>41306</v>
      </c>
      <c r="C81" s="249">
        <f t="shared" si="69"/>
        <v>41338</v>
      </c>
      <c r="D81" s="249">
        <f t="shared" si="69"/>
        <v>41353</v>
      </c>
      <c r="E81" s="71" t="s">
        <v>144</v>
      </c>
      <c r="F81" s="3">
        <v>9</v>
      </c>
      <c r="G81" s="73">
        <v>21</v>
      </c>
      <c r="H81" s="253">
        <f t="shared" si="75"/>
        <v>1446.51</v>
      </c>
      <c r="I81" s="253">
        <f t="shared" si="49"/>
        <v>1491.39</v>
      </c>
      <c r="J81" s="56">
        <f t="shared" si="9"/>
        <v>31319.190000000002</v>
      </c>
      <c r="K81" s="57">
        <f t="shared" si="65"/>
        <v>30376.71</v>
      </c>
      <c r="L81" s="58">
        <f t="shared" si="67"/>
        <v>942.4800000000032</v>
      </c>
      <c r="M81" s="55">
        <f t="shared" si="71"/>
        <v>39.94242050262808</v>
      </c>
      <c r="N81" s="29">
        <f t="shared" si="68"/>
        <v>982.4224205026313</v>
      </c>
      <c r="O81" s="16">
        <f t="shared" si="60"/>
        <v>12</v>
      </c>
      <c r="P81" s="16">
        <f t="shared" si="61"/>
        <v>91</v>
      </c>
      <c r="Q81" s="16">
        <f t="shared" si="62"/>
        <v>92</v>
      </c>
      <c r="R81" s="16">
        <f t="shared" si="73"/>
        <v>92</v>
      </c>
      <c r="S81" s="16">
        <f t="shared" si="74"/>
        <v>90</v>
      </c>
      <c r="T81" s="16">
        <f t="shared" si="74"/>
        <v>91</v>
      </c>
      <c r="U81" s="16">
        <f t="shared" si="74"/>
        <v>0</v>
      </c>
      <c r="V81" s="111">
        <f aca="true" t="shared" si="77" ref="V81:V91">IF(W$8&lt;V$8,0,IF($D81&lt;V$8,V$12,IF($D81&lt;W$8,W$8-$D81,0)))</f>
        <v>0</v>
      </c>
      <c r="W81" s="146">
        <f aca="true" t="shared" si="78" ref="W81:W91">$L81*O$11*O81</f>
        <v>1.0070334246575376</v>
      </c>
      <c r="X81" s="63">
        <f>($L81+SUM($W81:W81))*(P$11*P81)</f>
        <v>7.644829866721737</v>
      </c>
      <c r="Y81" s="63">
        <f>($L81+SUM($W81:X81))*(Q$11*Q81)</f>
        <v>7.791463756825297</v>
      </c>
      <c r="Z81" s="63">
        <f>($L81+SUM($W81:Y81))*(R$11*R81)</f>
        <v>7.8552897202031255</v>
      </c>
      <c r="AA81" s="63">
        <f>($L81+SUM($W81:Z81))*(S$11*S81)</f>
        <v>7.747472476842744</v>
      </c>
      <c r="AB81" s="63">
        <f>($L81+SUM($W81:AA81))*(T$11*T81)</f>
        <v>7.896331257377637</v>
      </c>
      <c r="AC81" s="63">
        <f>($L81+SUM($W81:AB81))*(U$11*U81)</f>
        <v>0</v>
      </c>
      <c r="AD81" s="63">
        <f>($L81+SUM($W81:AC81))*(V$11*V81)</f>
        <v>0</v>
      </c>
      <c r="AE81" s="115">
        <f t="shared" si="76"/>
        <v>39.94242050262808</v>
      </c>
    </row>
    <row r="82" spans="1:31" ht="12.75">
      <c r="A82" s="3">
        <v>3</v>
      </c>
      <c r="B82" s="15">
        <f t="shared" si="16"/>
        <v>41334</v>
      </c>
      <c r="C82" s="249">
        <f t="shared" si="69"/>
        <v>41367</v>
      </c>
      <c r="D82" s="249">
        <f t="shared" si="69"/>
        <v>41382</v>
      </c>
      <c r="E82" s="71" t="s">
        <v>144</v>
      </c>
      <c r="F82" s="3">
        <v>9</v>
      </c>
      <c r="G82" s="73">
        <v>18</v>
      </c>
      <c r="H82" s="253">
        <f t="shared" si="75"/>
        <v>1446.51</v>
      </c>
      <c r="I82" s="253">
        <f t="shared" si="49"/>
        <v>1491.39</v>
      </c>
      <c r="J82" s="56">
        <f t="shared" si="9"/>
        <v>26845.02</v>
      </c>
      <c r="K82" s="57">
        <f t="shared" si="65"/>
        <v>26037.18</v>
      </c>
      <c r="L82" s="58">
        <f>+J82-K82</f>
        <v>807.8400000000001</v>
      </c>
      <c r="M82" s="55">
        <f t="shared" si="71"/>
        <v>32.074512835564036</v>
      </c>
      <c r="N82" s="29">
        <f>SUM(L82:M82)</f>
        <v>839.9145128355642</v>
      </c>
      <c r="O82" s="16">
        <f t="shared" si="60"/>
        <v>0</v>
      </c>
      <c r="P82" s="16">
        <f t="shared" si="61"/>
        <v>74</v>
      </c>
      <c r="Q82" s="16">
        <f t="shared" si="62"/>
        <v>92</v>
      </c>
      <c r="R82" s="16">
        <f t="shared" si="73"/>
        <v>92</v>
      </c>
      <c r="S82" s="16">
        <f t="shared" si="74"/>
        <v>90</v>
      </c>
      <c r="T82" s="16">
        <f t="shared" si="74"/>
        <v>91</v>
      </c>
      <c r="U82" s="16">
        <f t="shared" si="74"/>
        <v>0</v>
      </c>
      <c r="V82" s="111">
        <f t="shared" si="77"/>
        <v>0</v>
      </c>
      <c r="W82" s="146">
        <f t="shared" si="78"/>
        <v>0</v>
      </c>
      <c r="X82" s="63">
        <f>($L82+SUM($W82:W82))*(P$11*P82)</f>
        <v>5.32289095890411</v>
      </c>
      <c r="Y82" s="63">
        <f>($L82+SUM($W82:X82))*(Q$11*Q82)</f>
        <v>6.661252175252392</v>
      </c>
      <c r="Z82" s="63">
        <f>($L82+SUM($W82:Y82))*(R$11*R82)</f>
        <v>6.715819693071584</v>
      </c>
      <c r="AA82" s="63">
        <f>($L82+SUM($W82:Z82))*(S$11*S82)</f>
        <v>6.623642167862034</v>
      </c>
      <c r="AB82" s="63">
        <f>($L82+SUM($W82:AA82))*(T$11*T82)</f>
        <v>6.750907840473917</v>
      </c>
      <c r="AC82" s="63">
        <f>($L82+SUM($W82:AB82))*(U$11*U82)</f>
        <v>0</v>
      </c>
      <c r="AD82" s="63">
        <f>($L82+SUM($W82:AC82))*(V$11*V82)</f>
        <v>0</v>
      </c>
      <c r="AE82" s="115">
        <f t="shared" si="76"/>
        <v>32.074512835564036</v>
      </c>
    </row>
    <row r="83" spans="1:31" ht="12.75">
      <c r="A83" s="16">
        <v>4</v>
      </c>
      <c r="B83" s="15">
        <f t="shared" si="16"/>
        <v>41365</v>
      </c>
      <c r="C83" s="249">
        <f t="shared" si="69"/>
        <v>41397</v>
      </c>
      <c r="D83" s="249">
        <f t="shared" si="69"/>
        <v>41414</v>
      </c>
      <c r="E83" s="30" t="s">
        <v>144</v>
      </c>
      <c r="F83" s="3">
        <v>9</v>
      </c>
      <c r="G83" s="73">
        <v>21</v>
      </c>
      <c r="H83" s="253">
        <f t="shared" si="75"/>
        <v>1446.51</v>
      </c>
      <c r="I83" s="253">
        <f t="shared" si="49"/>
        <v>1491.39</v>
      </c>
      <c r="J83" s="56">
        <f t="shared" si="9"/>
        <v>31319.190000000002</v>
      </c>
      <c r="K83" s="57">
        <f t="shared" si="65"/>
        <v>30376.71</v>
      </c>
      <c r="L83" s="58">
        <f aca="true" t="shared" si="79" ref="L83:L93">+J83-K83</f>
        <v>942.4800000000032</v>
      </c>
      <c r="M83" s="55">
        <f t="shared" si="71"/>
        <v>34.64649685633483</v>
      </c>
      <c r="N83" s="29">
        <f aca="true" t="shared" si="80" ref="N83:N93">SUM(L83:M83)</f>
        <v>977.126496856338</v>
      </c>
      <c r="O83" s="16">
        <f t="shared" si="60"/>
        <v>0</v>
      </c>
      <c r="P83" s="16">
        <f t="shared" si="61"/>
        <v>42</v>
      </c>
      <c r="Q83" s="16">
        <f t="shared" si="62"/>
        <v>92</v>
      </c>
      <c r="R83" s="16">
        <f t="shared" si="73"/>
        <v>92</v>
      </c>
      <c r="S83" s="16">
        <f t="shared" si="74"/>
        <v>90</v>
      </c>
      <c r="T83" s="16">
        <f t="shared" si="74"/>
        <v>91</v>
      </c>
      <c r="U83" s="16">
        <f t="shared" si="74"/>
        <v>0</v>
      </c>
      <c r="V83" s="111">
        <f t="shared" si="77"/>
        <v>0</v>
      </c>
      <c r="W83" s="146">
        <f t="shared" si="78"/>
        <v>0</v>
      </c>
      <c r="X83" s="63">
        <f>($L83+SUM($W83:W83))*(P$11*P83)</f>
        <v>3.524616986301382</v>
      </c>
      <c r="Y83" s="63">
        <f>($L83+SUM($W83:X83))*(Q$11*Q83)</f>
        <v>7.74946247887411</v>
      </c>
      <c r="Z83" s="63">
        <f>($L83+SUM($W83:Y83))*(R$11*R83)</f>
        <v>7.812944376988724</v>
      </c>
      <c r="AA83" s="63">
        <f>($L83+SUM($W83:Z83))*(S$11*S83)</f>
        <v>7.705708341748875</v>
      </c>
      <c r="AB83" s="63">
        <f>($L83+SUM($W83:AA83))*(T$11*T83)</f>
        <v>7.853764672421733</v>
      </c>
      <c r="AC83" s="63">
        <f>($L83+SUM($W83:AB83))*(U$11*U83)</f>
        <v>0</v>
      </c>
      <c r="AD83" s="63">
        <f>($L83+SUM($W83:AC83))*(V$11*V83)</f>
        <v>0</v>
      </c>
      <c r="AE83" s="115">
        <f t="shared" si="76"/>
        <v>34.64649685633483</v>
      </c>
    </row>
    <row r="84" spans="1:31" ht="12.75">
      <c r="A84" s="3">
        <v>5</v>
      </c>
      <c r="B84" s="15">
        <f t="shared" si="16"/>
        <v>41395</v>
      </c>
      <c r="C84" s="249">
        <f t="shared" si="69"/>
        <v>41430</v>
      </c>
      <c r="D84" s="249">
        <f t="shared" si="69"/>
        <v>41445</v>
      </c>
      <c r="E84" s="30" t="s">
        <v>144</v>
      </c>
      <c r="F84" s="3">
        <v>9</v>
      </c>
      <c r="G84" s="73">
        <v>22</v>
      </c>
      <c r="H84" s="253">
        <f t="shared" si="75"/>
        <v>1446.51</v>
      </c>
      <c r="I84" s="253">
        <f aca="true" t="shared" si="81" ref="I84:I115">$J$3</f>
        <v>1491.39</v>
      </c>
      <c r="J84" s="56">
        <f t="shared" si="9"/>
        <v>32810.58</v>
      </c>
      <c r="K84" s="57">
        <f t="shared" si="65"/>
        <v>31823.22</v>
      </c>
      <c r="L84" s="58">
        <f t="shared" si="79"/>
        <v>987.3600000000006</v>
      </c>
      <c r="M84" s="55">
        <f t="shared" si="71"/>
        <v>33.481285610192664</v>
      </c>
      <c r="N84" s="29">
        <f t="shared" si="80"/>
        <v>1020.8412856101933</v>
      </c>
      <c r="O84" s="16">
        <f t="shared" si="60"/>
        <v>0</v>
      </c>
      <c r="P84" s="16">
        <f t="shared" si="61"/>
        <v>11</v>
      </c>
      <c r="Q84" s="16">
        <f t="shared" si="62"/>
        <v>92</v>
      </c>
      <c r="R84" s="16">
        <f t="shared" si="73"/>
        <v>92</v>
      </c>
      <c r="S84" s="16">
        <f t="shared" si="74"/>
        <v>90</v>
      </c>
      <c r="T84" s="16">
        <f t="shared" si="74"/>
        <v>91</v>
      </c>
      <c r="U84" s="16">
        <f t="shared" si="74"/>
        <v>0</v>
      </c>
      <c r="V84" s="111">
        <f t="shared" si="77"/>
        <v>0</v>
      </c>
      <c r="W84" s="146">
        <f t="shared" si="78"/>
        <v>0</v>
      </c>
      <c r="X84" s="63">
        <f>($L84+SUM($W84:W84))*(P$11*P84)</f>
        <v>0.9670717808219184</v>
      </c>
      <c r="Y84" s="63">
        <f>($L84+SUM($W84:X84))*(Q$11*Q84)</f>
        <v>8.096158752396326</v>
      </c>
      <c r="Z84" s="63">
        <f>($L84+SUM($W84:Y84))*(R$11*R84)</f>
        <v>8.162480710395407</v>
      </c>
      <c r="AA84" s="63">
        <f>($L84+SUM($W84:Z84))*(S$11*S84)</f>
        <v>8.05044713804814</v>
      </c>
      <c r="AB84" s="63">
        <f>($L84+SUM($W84:AA84))*(T$11*T84)</f>
        <v>8.205127228530868</v>
      </c>
      <c r="AC84" s="63">
        <f>($L84+SUM($W84:AB84))*(U$11*U84)</f>
        <v>0</v>
      </c>
      <c r="AD84" s="63">
        <f>($L84+SUM($W84:AC84))*(V$11*V84)</f>
        <v>0</v>
      </c>
      <c r="AE84" s="115">
        <f t="shared" si="76"/>
        <v>33.481285610192664</v>
      </c>
    </row>
    <row r="85" spans="1:31" ht="12.75">
      <c r="A85" s="3">
        <v>6</v>
      </c>
      <c r="B85" s="15">
        <f aca="true" t="shared" si="82" ref="B85:B148">DATE($N$1,A85,1)</f>
        <v>41426</v>
      </c>
      <c r="C85" s="249">
        <f t="shared" si="69"/>
        <v>41460</v>
      </c>
      <c r="D85" s="249">
        <f t="shared" si="69"/>
        <v>41477</v>
      </c>
      <c r="E85" s="30" t="s">
        <v>144</v>
      </c>
      <c r="F85" s="3">
        <v>9</v>
      </c>
      <c r="G85" s="73">
        <v>14</v>
      </c>
      <c r="H85" s="253">
        <f t="shared" si="75"/>
        <v>1446.51</v>
      </c>
      <c r="I85" s="253">
        <f t="shared" si="81"/>
        <v>1491.39</v>
      </c>
      <c r="J85" s="56">
        <f aca="true" t="shared" si="83" ref="J85:J148">+$G85*I85</f>
        <v>20879.460000000003</v>
      </c>
      <c r="K85" s="57">
        <f t="shared" si="65"/>
        <v>20251.14</v>
      </c>
      <c r="L85" s="79">
        <f t="shared" si="79"/>
        <v>628.3200000000033</v>
      </c>
      <c r="M85" s="80">
        <f t="shared" si="71"/>
        <v>19.46695406216925</v>
      </c>
      <c r="N85" s="78">
        <f t="shared" si="80"/>
        <v>647.7869540621726</v>
      </c>
      <c r="O85" s="16">
        <f aca="true" t="shared" si="84" ref="O85:U85">IF($D85&lt;O$8,O$12,IF($D85&lt;P$8,P$8-$D85,0))</f>
        <v>0</v>
      </c>
      <c r="P85" s="16">
        <f t="shared" si="84"/>
        <v>0</v>
      </c>
      <c r="Q85" s="16">
        <f t="shared" si="84"/>
        <v>71</v>
      </c>
      <c r="R85" s="16">
        <f t="shared" si="84"/>
        <v>92</v>
      </c>
      <c r="S85" s="16">
        <f t="shared" si="84"/>
        <v>90</v>
      </c>
      <c r="T85" s="16">
        <f t="shared" si="84"/>
        <v>91</v>
      </c>
      <c r="U85" s="16">
        <f t="shared" si="84"/>
        <v>0</v>
      </c>
      <c r="V85" s="111">
        <f>IF(W$8&lt;V$8,0,IF($D85&lt;V$8,V$12,IF($D85&lt;W$8,W$8-$D85,0)))</f>
        <v>0</v>
      </c>
      <c r="W85" s="146">
        <f>$L85*O$11*O85</f>
        <v>0</v>
      </c>
      <c r="X85" s="63">
        <f>($L85+SUM($W85:W85))*(P$11*P85)</f>
        <v>0</v>
      </c>
      <c r="Y85" s="63">
        <f>($L85+SUM($W85:X85))*(Q$11*Q85)</f>
        <v>3.9721873972602952</v>
      </c>
      <c r="Z85" s="63">
        <f>($L85+SUM($W85:Y85))*(R$11*R85)</f>
        <v>5.179599014569365</v>
      </c>
      <c r="AA85" s="63">
        <f>($L85+SUM($W85:Z85))*(S$11*S85)</f>
        <v>5.108506781519483</v>
      </c>
      <c r="AB85" s="63">
        <f>($L85+SUM($W85:AA85))*(T$11*T85)</f>
        <v>5.20666086882011</v>
      </c>
      <c r="AC85" s="63">
        <f>($L85+SUM($W85:AB85))*(U$11*U85)</f>
        <v>0</v>
      </c>
      <c r="AD85" s="63">
        <f>($L85+SUM($W85:AC85))*(V$11*V85)</f>
        <v>0</v>
      </c>
      <c r="AE85" s="115">
        <f t="shared" si="76"/>
        <v>19.46695406216925</v>
      </c>
    </row>
    <row r="86" spans="1:31" ht="12.75">
      <c r="A86" s="16">
        <v>7</v>
      </c>
      <c r="B86" s="15">
        <f t="shared" si="82"/>
        <v>41456</v>
      </c>
      <c r="C86" s="249">
        <f t="shared" si="69"/>
        <v>41491</v>
      </c>
      <c r="D86" s="249">
        <f t="shared" si="69"/>
        <v>41506</v>
      </c>
      <c r="E86" s="30" t="s">
        <v>144</v>
      </c>
      <c r="F86" s="3">
        <v>9</v>
      </c>
      <c r="G86" s="73">
        <v>18</v>
      </c>
      <c r="H86" s="253">
        <f aca="true" t="shared" si="85" ref="H86:H91">$K$8</f>
        <v>1586.22</v>
      </c>
      <c r="I86" s="253">
        <f t="shared" si="81"/>
        <v>1491.39</v>
      </c>
      <c r="J86" s="56">
        <f t="shared" si="83"/>
        <v>26845.02</v>
      </c>
      <c r="K86" s="76">
        <f t="shared" si="65"/>
        <v>28551.96</v>
      </c>
      <c r="L86" s="79">
        <f t="shared" si="79"/>
        <v>-1706.9399999999987</v>
      </c>
      <c r="M86" s="77">
        <f t="shared" si="71"/>
        <v>-48.36969020479358</v>
      </c>
      <c r="N86" s="78">
        <f t="shared" si="80"/>
        <v>-1755.3096902047923</v>
      </c>
      <c r="O86" s="16">
        <f t="shared" si="60"/>
        <v>0</v>
      </c>
      <c r="P86" s="16">
        <f t="shared" si="61"/>
        <v>0</v>
      </c>
      <c r="Q86" s="16">
        <f t="shared" si="62"/>
        <v>42</v>
      </c>
      <c r="R86" s="16">
        <f t="shared" si="73"/>
        <v>92</v>
      </c>
      <c r="S86" s="16">
        <f t="shared" si="74"/>
        <v>90</v>
      </c>
      <c r="T86" s="16">
        <f t="shared" si="74"/>
        <v>91</v>
      </c>
      <c r="U86" s="16">
        <f t="shared" si="74"/>
        <v>0</v>
      </c>
      <c r="V86" s="111">
        <f t="shared" si="77"/>
        <v>0</v>
      </c>
      <c r="W86" s="146">
        <f t="shared" si="78"/>
        <v>0</v>
      </c>
      <c r="X86" s="63">
        <f>($L86+SUM($W86:W86))*(P$11*P86)</f>
        <v>0</v>
      </c>
      <c r="Y86" s="63">
        <f>($L86+SUM($W86:X86))*(Q$11*Q86)</f>
        <v>-6.3834879452054745</v>
      </c>
      <c r="Z86" s="63">
        <f>($L86+SUM($W86:Y86))*(R$11*R86)</f>
        <v>-14.035170490290849</v>
      </c>
      <c r="AA86" s="63">
        <f>($L86+SUM($W86:Z86))*(S$11*S86)</f>
        <v>-13.842531714859788</v>
      </c>
      <c r="AB86" s="63">
        <f>($L86+SUM($W86:AA86))*(T$11*T86)</f>
        <v>-14.108500054437464</v>
      </c>
      <c r="AC86" s="63">
        <f>($L86+SUM($W86:AB86))*(U$11*U86)</f>
        <v>0</v>
      </c>
      <c r="AD86" s="63">
        <f>($L86+SUM($W86:AC86))*(V$11*V86)</f>
        <v>0</v>
      </c>
      <c r="AE86" s="115">
        <f aca="true" t="shared" si="86" ref="AE86:AE91">SUM(W86:AD86)</f>
        <v>-48.36969020479358</v>
      </c>
    </row>
    <row r="87" spans="1:31" ht="12.75">
      <c r="A87" s="3">
        <v>8</v>
      </c>
      <c r="B87" s="15">
        <f t="shared" si="82"/>
        <v>41487</v>
      </c>
      <c r="C87" s="249">
        <f t="shared" si="69"/>
        <v>41522</v>
      </c>
      <c r="D87" s="249">
        <f t="shared" si="69"/>
        <v>41537</v>
      </c>
      <c r="E87" s="30" t="s">
        <v>144</v>
      </c>
      <c r="F87" s="3">
        <v>9</v>
      </c>
      <c r="G87" s="73">
        <v>21</v>
      </c>
      <c r="H87" s="253">
        <f t="shared" si="85"/>
        <v>1586.22</v>
      </c>
      <c r="I87" s="253">
        <f t="shared" si="81"/>
        <v>1491.39</v>
      </c>
      <c r="J87" s="56">
        <f t="shared" si="83"/>
        <v>31319.190000000002</v>
      </c>
      <c r="K87" s="76">
        <f t="shared" si="65"/>
        <v>33310.62</v>
      </c>
      <c r="L87" s="79">
        <f t="shared" si="79"/>
        <v>-1991.4300000000003</v>
      </c>
      <c r="M87" s="77">
        <f t="shared" si="71"/>
        <v>-50.79970761080034</v>
      </c>
      <c r="N87" s="78">
        <f t="shared" si="80"/>
        <v>-2042.2297076108007</v>
      </c>
      <c r="O87" s="16">
        <f t="shared" si="60"/>
        <v>0</v>
      </c>
      <c r="P87" s="16">
        <f t="shared" si="61"/>
        <v>0</v>
      </c>
      <c r="Q87" s="16">
        <f t="shared" si="62"/>
        <v>11</v>
      </c>
      <c r="R87" s="16">
        <f t="shared" si="73"/>
        <v>92</v>
      </c>
      <c r="S87" s="16">
        <f t="shared" si="74"/>
        <v>90</v>
      </c>
      <c r="T87" s="16">
        <f t="shared" si="74"/>
        <v>91</v>
      </c>
      <c r="U87" s="16">
        <f t="shared" si="74"/>
        <v>0</v>
      </c>
      <c r="V87" s="111">
        <f t="shared" si="77"/>
        <v>0</v>
      </c>
      <c r="W87" s="146">
        <f t="shared" si="78"/>
        <v>0</v>
      </c>
      <c r="X87" s="63">
        <f>($L87+SUM($W87:W87))*(P$11*P87)</f>
        <v>0</v>
      </c>
      <c r="Y87" s="63">
        <f>($L87+SUM($W87:X87))*(Q$11*Q87)</f>
        <v>-1.9505102054794523</v>
      </c>
      <c r="Z87" s="63">
        <f>($L87+SUM($W87:Y87))*(R$11*R87)</f>
        <v>-16.329336234285982</v>
      </c>
      <c r="AA87" s="63">
        <f>($L87+SUM($W87:Z87))*(S$11*S87)</f>
        <v>-16.105209043387163</v>
      </c>
      <c r="AB87" s="63">
        <f>($L87+SUM($W87:AA87))*(T$11*T87)</f>
        <v>-16.414652127647738</v>
      </c>
      <c r="AC87" s="63">
        <f>($L87+SUM($W87:AB87))*(U$11*U87)</f>
        <v>0</v>
      </c>
      <c r="AD87" s="63">
        <f>($L87+SUM($W87:AC87))*(V$11*V87)</f>
        <v>0</v>
      </c>
      <c r="AE87" s="115">
        <f t="shared" si="86"/>
        <v>-50.79970761080034</v>
      </c>
    </row>
    <row r="88" spans="1:31" ht="12.75">
      <c r="A88" s="3">
        <v>9</v>
      </c>
      <c r="B88" s="15">
        <f t="shared" si="82"/>
        <v>41518</v>
      </c>
      <c r="C88" s="249">
        <f t="shared" si="69"/>
        <v>41550</v>
      </c>
      <c r="D88" s="249">
        <f t="shared" si="69"/>
        <v>41565</v>
      </c>
      <c r="E88" s="30" t="s">
        <v>144</v>
      </c>
      <c r="F88" s="3">
        <v>9</v>
      </c>
      <c r="G88" s="73">
        <v>20</v>
      </c>
      <c r="H88" s="253">
        <f t="shared" si="85"/>
        <v>1586.22</v>
      </c>
      <c r="I88" s="253">
        <f t="shared" si="81"/>
        <v>1491.39</v>
      </c>
      <c r="J88" s="56">
        <f t="shared" si="83"/>
        <v>29827.800000000003</v>
      </c>
      <c r="K88" s="76">
        <f t="shared" si="65"/>
        <v>31724.4</v>
      </c>
      <c r="L88" s="79">
        <f t="shared" si="79"/>
        <v>-1896.5999999999985</v>
      </c>
      <c r="M88" s="77">
        <f t="shared" si="71"/>
        <v>-43.56018703249994</v>
      </c>
      <c r="N88" s="78">
        <f t="shared" si="80"/>
        <v>-1940.1601870324985</v>
      </c>
      <c r="O88" s="16">
        <f t="shared" si="60"/>
        <v>0</v>
      </c>
      <c r="P88" s="16">
        <f t="shared" si="61"/>
        <v>0</v>
      </c>
      <c r="Q88" s="16">
        <f t="shared" si="62"/>
        <v>0</v>
      </c>
      <c r="R88" s="16">
        <f t="shared" si="73"/>
        <v>75</v>
      </c>
      <c r="S88" s="16">
        <f t="shared" si="74"/>
        <v>90</v>
      </c>
      <c r="T88" s="16">
        <f t="shared" si="74"/>
        <v>91</v>
      </c>
      <c r="U88" s="16">
        <f t="shared" si="74"/>
        <v>0</v>
      </c>
      <c r="V88" s="111">
        <f t="shared" si="77"/>
        <v>0</v>
      </c>
      <c r="W88" s="146">
        <f t="shared" si="78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-12.665650684931498</v>
      </c>
      <c r="AA88" s="63">
        <f>($L88+SUM($W88:Z88))*(S$11*S88)</f>
        <v>-15.300279529461424</v>
      </c>
      <c r="AB88" s="63">
        <f>($L88+SUM($W88:AA88))*(T$11*T88)</f>
        <v>-15.594256818107022</v>
      </c>
      <c r="AC88" s="63">
        <f>($L88+SUM($W88:AB88))*(U$11*U88)</f>
        <v>0</v>
      </c>
      <c r="AD88" s="63">
        <f>($L88+SUM($W88:AC88))*(V$11*V88)</f>
        <v>0</v>
      </c>
      <c r="AE88" s="115">
        <f t="shared" si="86"/>
        <v>-43.56018703249994</v>
      </c>
    </row>
    <row r="89" spans="1:31" ht="12.75">
      <c r="A89" s="16">
        <v>10</v>
      </c>
      <c r="B89" s="15">
        <f t="shared" si="82"/>
        <v>41548</v>
      </c>
      <c r="C89" s="249">
        <f t="shared" si="69"/>
        <v>41583</v>
      </c>
      <c r="D89" s="249">
        <f t="shared" si="69"/>
        <v>41598</v>
      </c>
      <c r="E89" s="30" t="s">
        <v>144</v>
      </c>
      <c r="F89" s="3">
        <v>9</v>
      </c>
      <c r="G89" s="73">
        <v>24</v>
      </c>
      <c r="H89" s="253">
        <f t="shared" si="85"/>
        <v>1586.22</v>
      </c>
      <c r="I89" s="253">
        <f t="shared" si="81"/>
        <v>1491.39</v>
      </c>
      <c r="J89" s="56">
        <f t="shared" si="83"/>
        <v>35793.36</v>
      </c>
      <c r="K89" s="76">
        <f t="shared" si="65"/>
        <v>38069.28</v>
      </c>
      <c r="L89" s="79">
        <f t="shared" si="79"/>
        <v>-2275.9199999999983</v>
      </c>
      <c r="M89" s="77">
        <f t="shared" si="71"/>
        <v>-45.47654854660782</v>
      </c>
      <c r="N89" s="78">
        <f t="shared" si="80"/>
        <v>-2321.396548546606</v>
      </c>
      <c r="O89" s="16">
        <f t="shared" si="60"/>
        <v>0</v>
      </c>
      <c r="P89" s="16">
        <f t="shared" si="61"/>
        <v>0</v>
      </c>
      <c r="Q89" s="16">
        <f t="shared" si="62"/>
        <v>0</v>
      </c>
      <c r="R89" s="16">
        <f t="shared" si="73"/>
        <v>42</v>
      </c>
      <c r="S89" s="16">
        <f t="shared" si="74"/>
        <v>90</v>
      </c>
      <c r="T89" s="16">
        <f t="shared" si="74"/>
        <v>91</v>
      </c>
      <c r="U89" s="16">
        <f t="shared" si="74"/>
        <v>0</v>
      </c>
      <c r="V89" s="111">
        <f t="shared" si="77"/>
        <v>0</v>
      </c>
      <c r="W89" s="146">
        <f t="shared" si="78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-8.511317260273966</v>
      </c>
      <c r="AA89" s="63">
        <f>($L89+SUM($W89:Z89))*(S$11*S89)</f>
        <v>-18.306744117770673</v>
      </c>
      <c r="AB89" s="63">
        <f>($L89+SUM($W89:AA89))*(T$11*T89)</f>
        <v>-18.658487168563184</v>
      </c>
      <c r="AC89" s="63">
        <f>($L89+SUM($W89:AB89))*(U$11*U89)</f>
        <v>0</v>
      </c>
      <c r="AD89" s="63">
        <f>($L89+SUM($W89:AC89))*(V$11*V89)</f>
        <v>0</v>
      </c>
      <c r="AE89" s="115">
        <f t="shared" si="86"/>
        <v>-45.47654854660782</v>
      </c>
    </row>
    <row r="90" spans="1:31" ht="12.75">
      <c r="A90" s="3">
        <v>11</v>
      </c>
      <c r="B90" s="15">
        <f t="shared" si="82"/>
        <v>41579</v>
      </c>
      <c r="C90" s="249">
        <f t="shared" si="69"/>
        <v>41612</v>
      </c>
      <c r="D90" s="249">
        <f t="shared" si="69"/>
        <v>41627</v>
      </c>
      <c r="E90" s="30" t="s">
        <v>144</v>
      </c>
      <c r="F90" s="3">
        <v>9</v>
      </c>
      <c r="G90" s="73">
        <v>23</v>
      </c>
      <c r="H90" s="253">
        <f t="shared" si="85"/>
        <v>1586.22</v>
      </c>
      <c r="I90" s="253">
        <f t="shared" si="81"/>
        <v>1491.39</v>
      </c>
      <c r="J90" s="56">
        <f t="shared" si="83"/>
        <v>34301.97</v>
      </c>
      <c r="K90" s="76">
        <f t="shared" si="65"/>
        <v>36483.06</v>
      </c>
      <c r="L90" s="79">
        <f t="shared" si="79"/>
        <v>-2181.0899999999965</v>
      </c>
      <c r="M90" s="77">
        <f t="shared" si="71"/>
        <v>-37.85856632152749</v>
      </c>
      <c r="N90" s="78">
        <f t="shared" si="80"/>
        <v>-2218.948566321524</v>
      </c>
      <c r="O90" s="16">
        <f t="shared" si="60"/>
        <v>0</v>
      </c>
      <c r="P90" s="16">
        <f t="shared" si="61"/>
        <v>0</v>
      </c>
      <c r="Q90" s="16">
        <f t="shared" si="62"/>
        <v>0</v>
      </c>
      <c r="R90" s="16">
        <f t="shared" si="73"/>
        <v>13</v>
      </c>
      <c r="S90" s="16">
        <f t="shared" si="74"/>
        <v>90</v>
      </c>
      <c r="T90" s="16">
        <f t="shared" si="74"/>
        <v>91</v>
      </c>
      <c r="U90" s="16">
        <f t="shared" si="74"/>
        <v>0</v>
      </c>
      <c r="V90" s="111">
        <f t="shared" si="77"/>
        <v>0</v>
      </c>
      <c r="W90" s="146">
        <f t="shared" si="78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-2.5246863698630095</v>
      </c>
      <c r="AA90" s="63">
        <f>($L90+SUM($W90:Z90))*(S$11*S90)</f>
        <v>-17.498830020909146</v>
      </c>
      <c r="AB90" s="63">
        <f>($L90+SUM($W90:AA90))*(T$11*T90)</f>
        <v>-17.83504993075534</v>
      </c>
      <c r="AC90" s="63">
        <f>($L90+SUM($W90:AB90))*(U$11*U90)</f>
        <v>0</v>
      </c>
      <c r="AD90" s="63">
        <f>($L90+SUM($W90:AC90))*(V$11*V90)</f>
        <v>0</v>
      </c>
      <c r="AE90" s="115">
        <f t="shared" si="86"/>
        <v>-37.85856632152749</v>
      </c>
    </row>
    <row r="91" spans="1:31" s="70" customFormat="1" ht="12.75">
      <c r="A91" s="3">
        <v>12</v>
      </c>
      <c r="B91" s="87">
        <f t="shared" si="82"/>
        <v>41609</v>
      </c>
      <c r="C91" s="249">
        <f t="shared" si="69"/>
        <v>41280</v>
      </c>
      <c r="D91" s="249">
        <f t="shared" si="69"/>
        <v>41295</v>
      </c>
      <c r="E91" s="88" t="s">
        <v>144</v>
      </c>
      <c r="F91" s="84">
        <v>9</v>
      </c>
      <c r="G91" s="89">
        <v>20</v>
      </c>
      <c r="H91" s="254">
        <f t="shared" si="85"/>
        <v>1586.22</v>
      </c>
      <c r="I91" s="254">
        <f t="shared" si="81"/>
        <v>1491.39</v>
      </c>
      <c r="J91" s="90">
        <f t="shared" si="83"/>
        <v>29827.800000000003</v>
      </c>
      <c r="K91" s="91">
        <f t="shared" si="65"/>
        <v>31724.4</v>
      </c>
      <c r="L91" s="92">
        <f t="shared" si="79"/>
        <v>-1896.5999999999985</v>
      </c>
      <c r="M91" s="93">
        <f t="shared" si="71"/>
        <v>-90.57712156517094</v>
      </c>
      <c r="N91" s="94">
        <f t="shared" si="80"/>
        <v>-1987.1771215651695</v>
      </c>
      <c r="O91" s="84">
        <f t="shared" si="60"/>
        <v>70</v>
      </c>
      <c r="P91" s="84">
        <f t="shared" si="61"/>
        <v>91</v>
      </c>
      <c r="Q91" s="84">
        <f t="shared" si="62"/>
        <v>92</v>
      </c>
      <c r="R91" s="84">
        <f t="shared" si="73"/>
        <v>92</v>
      </c>
      <c r="S91" s="84">
        <f t="shared" si="74"/>
        <v>90</v>
      </c>
      <c r="T91" s="84">
        <f t="shared" si="74"/>
        <v>91</v>
      </c>
      <c r="U91" s="84">
        <f t="shared" si="74"/>
        <v>0</v>
      </c>
      <c r="V91" s="112">
        <f t="shared" si="77"/>
        <v>0</v>
      </c>
      <c r="W91" s="147">
        <f t="shared" si="78"/>
        <v>-11.82127397260273</v>
      </c>
      <c r="X91" s="95">
        <f>($L91+SUM($W91:W91))*(P$11*P91)</f>
        <v>-15.463440870613612</v>
      </c>
      <c r="Y91" s="95">
        <f>($L91+SUM($W91:X91))*(Q$11*Q91)</f>
        <v>-15.760041910633458</v>
      </c>
      <c r="Z91" s="95">
        <f>($L91+SUM($W91:Y91))*(R$11*R91)</f>
        <v>-15.889144719709604</v>
      </c>
      <c r="AA91" s="95">
        <f>($L91+SUM($W91:Z91))*(S$11*S91)</f>
        <v>-15.671059347425087</v>
      </c>
      <c r="AB91" s="95">
        <f>($L91+SUM($W91:AA91))*(T$11*T91)</f>
        <v>-15.972160744186457</v>
      </c>
      <c r="AC91" s="95">
        <f>($L91+SUM($W91:AB91))*(U$11*U91)</f>
        <v>0</v>
      </c>
      <c r="AD91" s="95">
        <f>($L91+SUM($W91:AC91))*(V$11*V91)</f>
        <v>0</v>
      </c>
      <c r="AE91" s="116">
        <f t="shared" si="86"/>
        <v>-90.57712156517094</v>
      </c>
    </row>
    <row r="92" spans="1:31" ht="12.75">
      <c r="A92" s="16">
        <v>1</v>
      </c>
      <c r="B92" s="15">
        <f t="shared" si="82"/>
        <v>41275</v>
      </c>
      <c r="C92" s="248">
        <f aca="true" t="shared" si="87" ref="C92:D111">+C80</f>
        <v>41310</v>
      </c>
      <c r="D92" s="248">
        <f t="shared" si="87"/>
        <v>41325</v>
      </c>
      <c r="E92" s="123" t="s">
        <v>138</v>
      </c>
      <c r="F92" s="16">
        <v>9</v>
      </c>
      <c r="G92" s="73">
        <v>707</v>
      </c>
      <c r="H92" s="253">
        <f aca="true" t="shared" si="88" ref="H92:H97">$K$3</f>
        <v>1446.51</v>
      </c>
      <c r="I92" s="253">
        <f t="shared" si="81"/>
        <v>1491.39</v>
      </c>
      <c r="J92" s="56">
        <f t="shared" si="83"/>
        <v>1054412.73</v>
      </c>
      <c r="K92" s="57">
        <f t="shared" si="65"/>
        <v>1022682.57</v>
      </c>
      <c r="L92" s="58">
        <f t="shared" si="79"/>
        <v>31730.160000000033</v>
      </c>
      <c r="M92" s="55">
        <f t="shared" si="71"/>
        <v>1427.100822355452</v>
      </c>
      <c r="N92" s="29">
        <f t="shared" si="80"/>
        <v>33157.260822355485</v>
      </c>
      <c r="O92" s="16">
        <f aca="true" t="shared" si="89" ref="O92:O127">IF($D92&lt;O$8,O$12,IF($D92&lt;P$8,P$8-$D92,0))</f>
        <v>40</v>
      </c>
      <c r="P92" s="16">
        <f aca="true" t="shared" si="90" ref="P92:P127">IF($D92&lt;P$8,P$12,IF($D92&lt;Q$8,Q$8-$D92,0))</f>
        <v>91</v>
      </c>
      <c r="Q92" s="16">
        <f aca="true" t="shared" si="91" ref="Q92:Q127">IF($D92&lt;Q$8,Q$12,IF($D92&lt;R$8,R$8-$D92,0))</f>
        <v>92</v>
      </c>
      <c r="R92" s="16">
        <f t="shared" si="73"/>
        <v>92</v>
      </c>
      <c r="S92" s="16">
        <f t="shared" si="74"/>
        <v>90</v>
      </c>
      <c r="T92" s="16">
        <f t="shared" si="74"/>
        <v>91</v>
      </c>
      <c r="U92" s="16">
        <f t="shared" si="74"/>
        <v>0</v>
      </c>
      <c r="V92" s="111">
        <f>IF(W$8&lt;V$8,0,IF($D92&lt;V$8,V$12,IF($D92&lt;W$8,W$8-$D92,0)))</f>
        <v>0</v>
      </c>
      <c r="W92" s="146">
        <f>$L92*O$11*O92</f>
        <v>113.0115287671234</v>
      </c>
      <c r="X92" s="63">
        <f>($L92+SUM($W92:W92))*(P$11*P92)</f>
        <v>258.0169309488462</v>
      </c>
      <c r="Y92" s="63">
        <f>($L92+SUM($W92:X92))*(Q$11*Q92)</f>
        <v>262.9658999850708</v>
      </c>
      <c r="Z92" s="63">
        <f>($L92+SUM($W92:Y92))*(R$11*R92)</f>
        <v>265.12005900138684</v>
      </c>
      <c r="AA92" s="63">
        <f>($L92+SUM($W92:Z92))*(S$11*S92)</f>
        <v>261.48117171151966</v>
      </c>
      <c r="AB92" s="63">
        <f>($L92+SUM($W92:AA92))*(T$11*T92)</f>
        <v>266.5052319415051</v>
      </c>
      <c r="AC92" s="63">
        <f>($L92+SUM($W92:AB92))*(U$11*U92)</f>
        <v>0</v>
      </c>
      <c r="AD92" s="63">
        <f>($L92+SUM($W92:AC92))*(V$11*V92)</f>
        <v>0</v>
      </c>
      <c r="AE92" s="115">
        <f aca="true" t="shared" si="92" ref="AE92:AE97">SUM(W92:AD92)</f>
        <v>1427.100822355452</v>
      </c>
    </row>
    <row r="93" spans="1:31" ht="12.75">
      <c r="A93" s="3">
        <v>2</v>
      </c>
      <c r="B93" s="15">
        <f t="shared" si="82"/>
        <v>41306</v>
      </c>
      <c r="C93" s="249">
        <f t="shared" si="87"/>
        <v>41338</v>
      </c>
      <c r="D93" s="249">
        <f t="shared" si="87"/>
        <v>41353</v>
      </c>
      <c r="E93" s="71" t="s">
        <v>138</v>
      </c>
      <c r="F93" s="3">
        <v>9</v>
      </c>
      <c r="G93" s="73">
        <v>563</v>
      </c>
      <c r="H93" s="253">
        <f t="shared" si="88"/>
        <v>1446.51</v>
      </c>
      <c r="I93" s="253">
        <f t="shared" si="81"/>
        <v>1491.39</v>
      </c>
      <c r="J93" s="56">
        <f t="shared" si="83"/>
        <v>839652.5700000001</v>
      </c>
      <c r="K93" s="57">
        <f t="shared" si="65"/>
        <v>814385.13</v>
      </c>
      <c r="L93" s="58">
        <f t="shared" si="79"/>
        <v>25267.44000000006</v>
      </c>
      <c r="M93" s="55">
        <f t="shared" si="71"/>
        <v>1070.8372734752184</v>
      </c>
      <c r="N93" s="29">
        <f t="shared" si="80"/>
        <v>26338.27727347528</v>
      </c>
      <c r="O93" s="16">
        <f t="shared" si="89"/>
        <v>12</v>
      </c>
      <c r="P93" s="16">
        <f t="shared" si="90"/>
        <v>91</v>
      </c>
      <c r="Q93" s="16">
        <f t="shared" si="91"/>
        <v>92</v>
      </c>
      <c r="R93" s="16">
        <f t="shared" si="73"/>
        <v>92</v>
      </c>
      <c r="S93" s="16">
        <f t="shared" si="74"/>
        <v>90</v>
      </c>
      <c r="T93" s="16">
        <f t="shared" si="74"/>
        <v>91</v>
      </c>
      <c r="U93" s="16">
        <f t="shared" si="74"/>
        <v>0</v>
      </c>
      <c r="V93" s="111">
        <f aca="true" t="shared" si="93" ref="V93:V103">IF(W$8&lt;V$8,0,IF($D93&lt;V$8,V$12,IF($D93&lt;W$8,W$8-$D93,0)))</f>
        <v>0</v>
      </c>
      <c r="W93" s="146">
        <f aca="true" t="shared" si="94" ref="W93:W103">$L93*O$11*O93</f>
        <v>26.99808657534253</v>
      </c>
      <c r="X93" s="63">
        <f>($L93+SUM($W93:W93))*(P$11*P93)</f>
        <v>204.95424833163494</v>
      </c>
      <c r="Y93" s="63">
        <f>($L93+SUM($W93:X93))*(Q$11*Q93)</f>
        <v>208.88543309964942</v>
      </c>
      <c r="Z93" s="63">
        <f>($L93+SUM($W93:Y93))*(R$11*R93)</f>
        <v>210.5965767844931</v>
      </c>
      <c r="AA93" s="63">
        <f>($L93+SUM($W93:Z93))*(S$11*S93)</f>
        <v>207.70604783154573</v>
      </c>
      <c r="AB93" s="63">
        <f>($L93+SUM($W93:AA93))*(T$11*T93)</f>
        <v>211.69688085255265</v>
      </c>
      <c r="AC93" s="63">
        <f>($L93+SUM($W93:AB93))*(U$11*U93)</f>
        <v>0</v>
      </c>
      <c r="AD93" s="63">
        <f>($L93+SUM($W93:AC93))*(V$11*V93)</f>
        <v>0</v>
      </c>
      <c r="AE93" s="115">
        <f t="shared" si="92"/>
        <v>1070.8372734752184</v>
      </c>
    </row>
    <row r="94" spans="1:31" ht="12.75">
      <c r="A94" s="3">
        <v>3</v>
      </c>
      <c r="B94" s="15">
        <f t="shared" si="82"/>
        <v>41334</v>
      </c>
      <c r="C94" s="249">
        <f t="shared" si="87"/>
        <v>41367</v>
      </c>
      <c r="D94" s="249">
        <f t="shared" si="87"/>
        <v>41382</v>
      </c>
      <c r="E94" s="71" t="s">
        <v>138</v>
      </c>
      <c r="F94" s="3">
        <v>9</v>
      </c>
      <c r="G94" s="73">
        <v>655</v>
      </c>
      <c r="H94" s="253">
        <f t="shared" si="88"/>
        <v>1446.51</v>
      </c>
      <c r="I94" s="253">
        <f t="shared" si="81"/>
        <v>1491.39</v>
      </c>
      <c r="J94" s="56">
        <f t="shared" si="83"/>
        <v>976860.4500000001</v>
      </c>
      <c r="K94" s="57">
        <f t="shared" si="65"/>
        <v>947464.05</v>
      </c>
      <c r="L94" s="58">
        <f>+J94-K94</f>
        <v>29396.400000000023</v>
      </c>
      <c r="M94" s="55">
        <f t="shared" si="71"/>
        <v>1167.1558837385808</v>
      </c>
      <c r="N94" s="29">
        <f>SUM(L94:M94)</f>
        <v>30563.555883738605</v>
      </c>
      <c r="O94" s="16">
        <f t="shared" si="89"/>
        <v>0</v>
      </c>
      <c r="P94" s="16">
        <f t="shared" si="90"/>
        <v>74</v>
      </c>
      <c r="Q94" s="16">
        <f t="shared" si="91"/>
        <v>92</v>
      </c>
      <c r="R94" s="16">
        <f t="shared" si="73"/>
        <v>92</v>
      </c>
      <c r="S94" s="16">
        <f t="shared" si="74"/>
        <v>90</v>
      </c>
      <c r="T94" s="16">
        <f t="shared" si="74"/>
        <v>91</v>
      </c>
      <c r="U94" s="16">
        <f t="shared" si="74"/>
        <v>0</v>
      </c>
      <c r="V94" s="111">
        <f t="shared" si="93"/>
        <v>0</v>
      </c>
      <c r="W94" s="146">
        <f t="shared" si="94"/>
        <v>0</v>
      </c>
      <c r="X94" s="63">
        <f>($L94+SUM($W94:W94))*(P$11*P94)</f>
        <v>193.694087671233</v>
      </c>
      <c r="Y94" s="63">
        <f>($L94+SUM($W94:X94))*(Q$11*Q94)</f>
        <v>242.3955652661289</v>
      </c>
      <c r="Z94" s="63">
        <f>($L94+SUM($W94:Y94))*(R$11*R94)</f>
        <v>244.3812166089939</v>
      </c>
      <c r="AA94" s="63">
        <f>($L94+SUM($W94:Z94))*(S$11*S94)</f>
        <v>241.02697888609083</v>
      </c>
      <c r="AB94" s="63">
        <f>($L94+SUM($W94:AA94))*(T$11*T94)</f>
        <v>245.6580353061343</v>
      </c>
      <c r="AC94" s="63">
        <f>($L94+SUM($W94:AB94))*(U$11*U94)</f>
        <v>0</v>
      </c>
      <c r="AD94" s="63">
        <f>($L94+SUM($W94:AC94))*(V$11*V94)</f>
        <v>0</v>
      </c>
      <c r="AE94" s="115">
        <f t="shared" si="92"/>
        <v>1167.1558837385808</v>
      </c>
    </row>
    <row r="95" spans="1:31" ht="12.75">
      <c r="A95" s="16">
        <v>4</v>
      </c>
      <c r="B95" s="15">
        <f t="shared" si="82"/>
        <v>41365</v>
      </c>
      <c r="C95" s="249">
        <f t="shared" si="87"/>
        <v>41397</v>
      </c>
      <c r="D95" s="249">
        <f t="shared" si="87"/>
        <v>41414</v>
      </c>
      <c r="E95" s="30" t="s">
        <v>138</v>
      </c>
      <c r="F95" s="3">
        <v>9</v>
      </c>
      <c r="G95" s="73">
        <v>410</v>
      </c>
      <c r="H95" s="253">
        <f t="shared" si="88"/>
        <v>1446.51</v>
      </c>
      <c r="I95" s="253">
        <f t="shared" si="81"/>
        <v>1491.39</v>
      </c>
      <c r="J95" s="56">
        <f t="shared" si="83"/>
        <v>611469.9</v>
      </c>
      <c r="K95" s="57">
        <f t="shared" si="65"/>
        <v>593069.1</v>
      </c>
      <c r="L95" s="58">
        <f aca="true" t="shared" si="95" ref="L95:L105">+J95-K95</f>
        <v>18400.800000000047</v>
      </c>
      <c r="M95" s="55">
        <f t="shared" si="71"/>
        <v>676.4316052903459</v>
      </c>
      <c r="N95" s="29">
        <f aca="true" t="shared" si="96" ref="N95:N105">SUM(L95:M95)</f>
        <v>19077.23160529039</v>
      </c>
      <c r="O95" s="16">
        <f t="shared" si="89"/>
        <v>0</v>
      </c>
      <c r="P95" s="16">
        <f t="shared" si="90"/>
        <v>42</v>
      </c>
      <c r="Q95" s="16">
        <f t="shared" si="91"/>
        <v>92</v>
      </c>
      <c r="R95" s="16">
        <f t="shared" si="73"/>
        <v>92</v>
      </c>
      <c r="S95" s="16">
        <f t="shared" si="74"/>
        <v>90</v>
      </c>
      <c r="T95" s="16">
        <f t="shared" si="74"/>
        <v>91</v>
      </c>
      <c r="U95" s="16">
        <f t="shared" si="74"/>
        <v>0</v>
      </c>
      <c r="V95" s="111">
        <f t="shared" si="93"/>
        <v>0</v>
      </c>
      <c r="W95" s="146">
        <f t="shared" si="94"/>
        <v>0</v>
      </c>
      <c r="X95" s="63">
        <f>($L95+SUM($W95:W95))*(P$11*P95)</f>
        <v>68.81395068493168</v>
      </c>
      <c r="Y95" s="63">
        <f>($L95+SUM($W95:X95))*(Q$11*Q95)</f>
        <v>151.2990293494468</v>
      </c>
      <c r="Z95" s="63">
        <f>($L95+SUM($W95:Y95))*(R$11*R95)</f>
        <v>152.53843783644635</v>
      </c>
      <c r="AA95" s="63">
        <f>($L95+SUM($W95:Z95))*(S$11*S95)</f>
        <v>150.44478191033505</v>
      </c>
      <c r="AB95" s="63">
        <f>($L95+SUM($W95:AA95))*(T$11*T95)</f>
        <v>153.33540550918607</v>
      </c>
      <c r="AC95" s="63">
        <f>($L95+SUM($W95:AB95))*(U$11*U95)</f>
        <v>0</v>
      </c>
      <c r="AD95" s="63">
        <f>($L95+SUM($W95:AC95))*(V$11*V95)</f>
        <v>0</v>
      </c>
      <c r="AE95" s="115">
        <f t="shared" si="92"/>
        <v>676.4316052903459</v>
      </c>
    </row>
    <row r="96" spans="1:31" ht="12.75">
      <c r="A96" s="3">
        <v>5</v>
      </c>
      <c r="B96" s="15">
        <f t="shared" si="82"/>
        <v>41395</v>
      </c>
      <c r="C96" s="249">
        <f t="shared" si="87"/>
        <v>41430</v>
      </c>
      <c r="D96" s="249">
        <f t="shared" si="87"/>
        <v>41445</v>
      </c>
      <c r="E96" s="30" t="s">
        <v>138</v>
      </c>
      <c r="F96" s="3">
        <v>9</v>
      </c>
      <c r="G96" s="73">
        <v>554</v>
      </c>
      <c r="H96" s="253">
        <f t="shared" si="88"/>
        <v>1446.51</v>
      </c>
      <c r="I96" s="253">
        <f t="shared" si="81"/>
        <v>1491.39</v>
      </c>
      <c r="J96" s="56">
        <f t="shared" si="83"/>
        <v>826230.06</v>
      </c>
      <c r="K96" s="57">
        <f t="shared" si="65"/>
        <v>801366.54</v>
      </c>
      <c r="L96" s="58">
        <f t="shared" si="95"/>
        <v>24863.52000000002</v>
      </c>
      <c r="M96" s="55">
        <f t="shared" si="71"/>
        <v>843.1196467293971</v>
      </c>
      <c r="N96" s="29">
        <f t="shared" si="96"/>
        <v>25706.639646729414</v>
      </c>
      <c r="O96" s="16">
        <f t="shared" si="89"/>
        <v>0</v>
      </c>
      <c r="P96" s="16">
        <f t="shared" si="90"/>
        <v>11</v>
      </c>
      <c r="Q96" s="16">
        <f t="shared" si="91"/>
        <v>92</v>
      </c>
      <c r="R96" s="16">
        <f t="shared" si="73"/>
        <v>92</v>
      </c>
      <c r="S96" s="16">
        <f t="shared" si="74"/>
        <v>90</v>
      </c>
      <c r="T96" s="16">
        <f t="shared" si="74"/>
        <v>91</v>
      </c>
      <c r="U96" s="16">
        <f t="shared" si="74"/>
        <v>0</v>
      </c>
      <c r="V96" s="111">
        <f t="shared" si="93"/>
        <v>0</v>
      </c>
      <c r="W96" s="146">
        <f t="shared" si="94"/>
        <v>0</v>
      </c>
      <c r="X96" s="63">
        <f>($L96+SUM($W96:W96))*(P$11*P96)</f>
        <v>24.352625753424675</v>
      </c>
      <c r="Y96" s="63">
        <f>($L96+SUM($W96:X96))*(Q$11*Q96)</f>
        <v>203.87599767398024</v>
      </c>
      <c r="Z96" s="63">
        <f>($L96+SUM($W96:Y96))*(R$11*R96)</f>
        <v>205.5461051617753</v>
      </c>
      <c r="AA96" s="63">
        <f>($L96+SUM($W96:Z96))*(S$11*S96)</f>
        <v>202.72489611266687</v>
      </c>
      <c r="AB96" s="63">
        <f>($L96+SUM($W96:AA96))*(T$11*T96)</f>
        <v>206.62002202755005</v>
      </c>
      <c r="AC96" s="63">
        <f>($L96+SUM($W96:AB96))*(U$11*U96)</f>
        <v>0</v>
      </c>
      <c r="AD96" s="63">
        <f>($L96+SUM($W96:AC96))*(V$11*V96)</f>
        <v>0</v>
      </c>
      <c r="AE96" s="115">
        <f t="shared" si="92"/>
        <v>843.1196467293971</v>
      </c>
    </row>
    <row r="97" spans="1:31" ht="12.75">
      <c r="A97" s="3">
        <v>6</v>
      </c>
      <c r="B97" s="15">
        <f t="shared" si="82"/>
        <v>41426</v>
      </c>
      <c r="C97" s="249">
        <f t="shared" si="87"/>
        <v>41460</v>
      </c>
      <c r="D97" s="249">
        <f t="shared" si="87"/>
        <v>41477</v>
      </c>
      <c r="E97" s="30" t="s">
        <v>138</v>
      </c>
      <c r="F97" s="3">
        <v>9</v>
      </c>
      <c r="G97" s="73">
        <v>641</v>
      </c>
      <c r="H97" s="253">
        <f t="shared" si="88"/>
        <v>1446.51</v>
      </c>
      <c r="I97" s="253">
        <f t="shared" si="81"/>
        <v>1491.39</v>
      </c>
      <c r="J97" s="56">
        <f t="shared" si="83"/>
        <v>955980.9900000001</v>
      </c>
      <c r="K97" s="57">
        <f t="shared" si="65"/>
        <v>927212.91</v>
      </c>
      <c r="L97" s="79">
        <f t="shared" si="95"/>
        <v>28768.080000000075</v>
      </c>
      <c r="M97" s="80">
        <f t="shared" si="71"/>
        <v>891.3083967036041</v>
      </c>
      <c r="N97" s="78">
        <f t="shared" si="96"/>
        <v>29659.388396703678</v>
      </c>
      <c r="O97" s="16">
        <f aca="true" t="shared" si="97" ref="O97:U97">IF($D97&lt;O$8,O$12,IF($D97&lt;P$8,P$8-$D97,0))</f>
        <v>0</v>
      </c>
      <c r="P97" s="16">
        <f t="shared" si="97"/>
        <v>0</v>
      </c>
      <c r="Q97" s="16">
        <f t="shared" si="97"/>
        <v>71</v>
      </c>
      <c r="R97" s="16">
        <f t="shared" si="97"/>
        <v>92</v>
      </c>
      <c r="S97" s="16">
        <f t="shared" si="97"/>
        <v>90</v>
      </c>
      <c r="T97" s="16">
        <f t="shared" si="97"/>
        <v>91</v>
      </c>
      <c r="U97" s="16">
        <f t="shared" si="97"/>
        <v>0</v>
      </c>
      <c r="V97" s="111">
        <f>IF(W$8&lt;V$8,0,IF($D97&lt;V$8,V$12,IF($D97&lt;W$8,W$8-$D97,0)))</f>
        <v>0</v>
      </c>
      <c r="W97" s="146">
        <f>$L97*O$11*O97</f>
        <v>0</v>
      </c>
      <c r="X97" s="63">
        <f>($L97+SUM($W97:W97))*(P$11*P97)</f>
        <v>0</v>
      </c>
      <c r="Y97" s="63">
        <f>($L97+SUM($W97:X97))*(Q$11*Q97)</f>
        <v>181.86943726027445</v>
      </c>
      <c r="Z97" s="63">
        <f>($L97+SUM($W97:Y97))*(R$11*R97)</f>
        <v>237.15164059563952</v>
      </c>
      <c r="AA97" s="63">
        <f>($L97+SUM($W97:Z97))*(S$11*S97)</f>
        <v>233.89663192528425</v>
      </c>
      <c r="AB97" s="63">
        <f>($L97+SUM($W97:AA97))*(T$11*T97)</f>
        <v>238.3906869224058</v>
      </c>
      <c r="AC97" s="63">
        <f>($L97+SUM($W97:AB97))*(U$11*U97)</f>
        <v>0</v>
      </c>
      <c r="AD97" s="63">
        <f>($L97+SUM($W97:AC97))*(V$11*V97)</f>
        <v>0</v>
      </c>
      <c r="AE97" s="115">
        <f t="shared" si="92"/>
        <v>891.3083967036041</v>
      </c>
    </row>
    <row r="98" spans="1:31" ht="12.75">
      <c r="A98" s="16">
        <v>7</v>
      </c>
      <c r="B98" s="15">
        <f t="shared" si="82"/>
        <v>41456</v>
      </c>
      <c r="C98" s="249">
        <f t="shared" si="87"/>
        <v>41491</v>
      </c>
      <c r="D98" s="249">
        <f t="shared" si="87"/>
        <v>41506</v>
      </c>
      <c r="E98" s="30" t="s">
        <v>138</v>
      </c>
      <c r="F98" s="3">
        <v>9</v>
      </c>
      <c r="G98" s="73">
        <v>658</v>
      </c>
      <c r="H98" s="253">
        <f aca="true" t="shared" si="98" ref="H98:H103">$K$8</f>
        <v>1586.22</v>
      </c>
      <c r="I98" s="253">
        <f t="shared" si="81"/>
        <v>1491.39</v>
      </c>
      <c r="J98" s="56">
        <f t="shared" si="83"/>
        <v>981334.6200000001</v>
      </c>
      <c r="K98" s="76">
        <f t="shared" si="65"/>
        <v>1043732.76</v>
      </c>
      <c r="L98" s="79">
        <f t="shared" si="95"/>
        <v>-62398.1399999999</v>
      </c>
      <c r="M98" s="77">
        <f t="shared" si="71"/>
        <v>-1768.1808974863413</v>
      </c>
      <c r="N98" s="78">
        <f t="shared" si="96"/>
        <v>-64166.320897486235</v>
      </c>
      <c r="O98" s="16">
        <f t="shared" si="89"/>
        <v>0</v>
      </c>
      <c r="P98" s="16">
        <f t="shared" si="90"/>
        <v>0</v>
      </c>
      <c r="Q98" s="16">
        <f t="shared" si="91"/>
        <v>42</v>
      </c>
      <c r="R98" s="16">
        <f t="shared" si="73"/>
        <v>92</v>
      </c>
      <c r="S98" s="16">
        <f t="shared" si="74"/>
        <v>90</v>
      </c>
      <c r="T98" s="16">
        <f t="shared" si="74"/>
        <v>91</v>
      </c>
      <c r="U98" s="16">
        <f t="shared" si="74"/>
        <v>0</v>
      </c>
      <c r="V98" s="111">
        <f t="shared" si="93"/>
        <v>0</v>
      </c>
      <c r="W98" s="146">
        <f t="shared" si="94"/>
        <v>0</v>
      </c>
      <c r="X98" s="63">
        <f>($L98+SUM($W98:W98))*(P$11*P98)</f>
        <v>0</v>
      </c>
      <c r="Y98" s="63">
        <f>($L98+SUM($W98:X98))*(Q$11*Q98)</f>
        <v>-233.3519482191777</v>
      </c>
      <c r="Z98" s="63">
        <f>($L98+SUM($W98:Y98))*(R$11*R98)</f>
        <v>-513.0634545895206</v>
      </c>
      <c r="AA98" s="63">
        <f>($L98+SUM($W98:Z98))*(S$11*S98)</f>
        <v>-506.02143713209625</v>
      </c>
      <c r="AB98" s="63">
        <f>($L98+SUM($W98:AA98))*(T$11*T98)</f>
        <v>-515.7440575455469</v>
      </c>
      <c r="AC98" s="63">
        <f>($L98+SUM($W98:AB98))*(U$11*U98)</f>
        <v>0</v>
      </c>
      <c r="AD98" s="63">
        <f>($L98+SUM($W98:AC98))*(V$11*V98)</f>
        <v>0</v>
      </c>
      <c r="AE98" s="115">
        <f aca="true" t="shared" si="99" ref="AE98:AE103">SUM(W98:AD98)</f>
        <v>-1768.1808974863413</v>
      </c>
    </row>
    <row r="99" spans="1:31" ht="12.75">
      <c r="A99" s="3">
        <v>8</v>
      </c>
      <c r="B99" s="15">
        <f t="shared" si="82"/>
        <v>41487</v>
      </c>
      <c r="C99" s="249">
        <f t="shared" si="87"/>
        <v>41522</v>
      </c>
      <c r="D99" s="249">
        <f t="shared" si="87"/>
        <v>41537</v>
      </c>
      <c r="E99" s="30" t="s">
        <v>138</v>
      </c>
      <c r="F99" s="3">
        <v>9</v>
      </c>
      <c r="G99" s="73">
        <v>686</v>
      </c>
      <c r="H99" s="253">
        <f t="shared" si="98"/>
        <v>1586.22</v>
      </c>
      <c r="I99" s="253">
        <f t="shared" si="81"/>
        <v>1491.39</v>
      </c>
      <c r="J99" s="56">
        <f t="shared" si="83"/>
        <v>1023093.54</v>
      </c>
      <c r="K99" s="76">
        <f t="shared" si="65"/>
        <v>1088146.92</v>
      </c>
      <c r="L99" s="79">
        <f t="shared" si="95"/>
        <v>-65053.37999999989</v>
      </c>
      <c r="M99" s="77">
        <f t="shared" si="71"/>
        <v>-1659.4571152861413</v>
      </c>
      <c r="N99" s="78">
        <f t="shared" si="96"/>
        <v>-66712.83711528603</v>
      </c>
      <c r="O99" s="16">
        <f t="shared" si="89"/>
        <v>0</v>
      </c>
      <c r="P99" s="16">
        <f t="shared" si="90"/>
        <v>0</v>
      </c>
      <c r="Q99" s="16">
        <f t="shared" si="91"/>
        <v>11</v>
      </c>
      <c r="R99" s="16">
        <f t="shared" si="73"/>
        <v>92</v>
      </c>
      <c r="S99" s="16">
        <f t="shared" si="74"/>
        <v>90</v>
      </c>
      <c r="T99" s="16">
        <f t="shared" si="74"/>
        <v>91</v>
      </c>
      <c r="U99" s="16">
        <f t="shared" si="74"/>
        <v>0</v>
      </c>
      <c r="V99" s="111">
        <f t="shared" si="93"/>
        <v>0</v>
      </c>
      <c r="W99" s="146">
        <f t="shared" si="94"/>
        <v>0</v>
      </c>
      <c r="X99" s="63">
        <f>($L99+SUM($W99:W99))*(P$11*P99)</f>
        <v>0</v>
      </c>
      <c r="Y99" s="63">
        <f>($L99+SUM($W99:X99))*(Q$11*Q99)</f>
        <v>-63.71666671232865</v>
      </c>
      <c r="Z99" s="63">
        <f>($L99+SUM($W99:Y99))*(R$11*R99)</f>
        <v>-533.4249836533411</v>
      </c>
      <c r="AA99" s="63">
        <f>($L99+SUM($W99:Z99))*(S$11*S99)</f>
        <v>-526.103495417313</v>
      </c>
      <c r="AB99" s="63">
        <f>($L99+SUM($W99:AA99))*(T$11*T99)</f>
        <v>-536.2119695031586</v>
      </c>
      <c r="AC99" s="63">
        <f>($L99+SUM($W99:AB99))*(U$11*U99)</f>
        <v>0</v>
      </c>
      <c r="AD99" s="63">
        <f>($L99+SUM($W99:AC99))*(V$11*V99)</f>
        <v>0</v>
      </c>
      <c r="AE99" s="115">
        <f t="shared" si="99"/>
        <v>-1659.4571152861413</v>
      </c>
    </row>
    <row r="100" spans="1:31" ht="12.75">
      <c r="A100" s="3">
        <v>9</v>
      </c>
      <c r="B100" s="15">
        <f t="shared" si="82"/>
        <v>41518</v>
      </c>
      <c r="C100" s="249">
        <f t="shared" si="87"/>
        <v>41550</v>
      </c>
      <c r="D100" s="249">
        <f t="shared" si="87"/>
        <v>41565</v>
      </c>
      <c r="E100" s="30" t="s">
        <v>138</v>
      </c>
      <c r="F100" s="3">
        <v>9</v>
      </c>
      <c r="G100" s="73">
        <v>633</v>
      </c>
      <c r="H100" s="253">
        <f t="shared" si="98"/>
        <v>1586.22</v>
      </c>
      <c r="I100" s="253">
        <f t="shared" si="81"/>
        <v>1491.39</v>
      </c>
      <c r="J100" s="56">
        <f t="shared" si="83"/>
        <v>944049.8700000001</v>
      </c>
      <c r="K100" s="76">
        <f t="shared" si="65"/>
        <v>1004077.26</v>
      </c>
      <c r="L100" s="79">
        <f t="shared" si="95"/>
        <v>-60027.3899999999</v>
      </c>
      <c r="M100" s="77">
        <f t="shared" si="71"/>
        <v>-1378.679919578622</v>
      </c>
      <c r="N100" s="78">
        <f t="shared" si="96"/>
        <v>-61406.06991957852</v>
      </c>
      <c r="O100" s="16">
        <f t="shared" si="89"/>
        <v>0</v>
      </c>
      <c r="P100" s="16">
        <f t="shared" si="90"/>
        <v>0</v>
      </c>
      <c r="Q100" s="16">
        <f t="shared" si="91"/>
        <v>0</v>
      </c>
      <c r="R100" s="16">
        <f t="shared" si="73"/>
        <v>75</v>
      </c>
      <c r="S100" s="16">
        <f t="shared" si="74"/>
        <v>90</v>
      </c>
      <c r="T100" s="16">
        <f t="shared" si="74"/>
        <v>91</v>
      </c>
      <c r="U100" s="16">
        <f t="shared" si="74"/>
        <v>0</v>
      </c>
      <c r="V100" s="111">
        <f t="shared" si="93"/>
        <v>0</v>
      </c>
      <c r="W100" s="146">
        <f t="shared" si="94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-400.86784417808155</v>
      </c>
      <c r="AA100" s="63">
        <f>($L100+SUM($W100:Z100))*(S$11*S100)</f>
        <v>-484.2538471074536</v>
      </c>
      <c r="AB100" s="63">
        <f>($L100+SUM($W100:AA100))*(T$11*T100)</f>
        <v>-493.5582282930868</v>
      </c>
      <c r="AC100" s="63">
        <f>($L100+SUM($W100:AB100))*(U$11*U100)</f>
        <v>0</v>
      </c>
      <c r="AD100" s="63">
        <f>($L100+SUM($W100:AC100))*(V$11*V100)</f>
        <v>0</v>
      </c>
      <c r="AE100" s="115">
        <f t="shared" si="99"/>
        <v>-1378.679919578622</v>
      </c>
    </row>
    <row r="101" spans="1:31" ht="12.75">
      <c r="A101" s="16">
        <v>10</v>
      </c>
      <c r="B101" s="15">
        <f t="shared" si="82"/>
        <v>41548</v>
      </c>
      <c r="C101" s="249">
        <f t="shared" si="87"/>
        <v>41583</v>
      </c>
      <c r="D101" s="249">
        <f t="shared" si="87"/>
        <v>41598</v>
      </c>
      <c r="E101" s="30" t="s">
        <v>138</v>
      </c>
      <c r="F101" s="3">
        <v>9</v>
      </c>
      <c r="G101" s="73">
        <v>496</v>
      </c>
      <c r="H101" s="253">
        <f t="shared" si="98"/>
        <v>1586.22</v>
      </c>
      <c r="I101" s="253">
        <f t="shared" si="81"/>
        <v>1491.39</v>
      </c>
      <c r="J101" s="56">
        <f t="shared" si="83"/>
        <v>739729.4400000001</v>
      </c>
      <c r="K101" s="76">
        <f t="shared" si="65"/>
        <v>786765.12</v>
      </c>
      <c r="L101" s="79">
        <f t="shared" si="95"/>
        <v>-47035.679999999935</v>
      </c>
      <c r="M101" s="77">
        <f t="shared" si="71"/>
        <v>-939.8486699632278</v>
      </c>
      <c r="N101" s="78">
        <f t="shared" si="96"/>
        <v>-47975.52866996316</v>
      </c>
      <c r="O101" s="16">
        <f t="shared" si="89"/>
        <v>0</v>
      </c>
      <c r="P101" s="16">
        <f t="shared" si="90"/>
        <v>0</v>
      </c>
      <c r="Q101" s="16">
        <f t="shared" si="91"/>
        <v>0</v>
      </c>
      <c r="R101" s="16">
        <f t="shared" si="73"/>
        <v>42</v>
      </c>
      <c r="S101" s="16">
        <f t="shared" si="74"/>
        <v>90</v>
      </c>
      <c r="T101" s="16">
        <f t="shared" si="74"/>
        <v>91</v>
      </c>
      <c r="U101" s="16">
        <f t="shared" si="74"/>
        <v>0</v>
      </c>
      <c r="V101" s="111">
        <f t="shared" si="93"/>
        <v>0</v>
      </c>
      <c r="W101" s="146">
        <f t="shared" si="94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-175.90055671232852</v>
      </c>
      <c r="AA101" s="63">
        <f>($L101+SUM($W101:Z101))*(S$11*S101)</f>
        <v>-378.33937843392704</v>
      </c>
      <c r="AB101" s="63">
        <f>($L101+SUM($W101:AA101))*(T$11*T101)</f>
        <v>-385.60873481697223</v>
      </c>
      <c r="AC101" s="63">
        <f>($L101+SUM($W101:AB101))*(U$11*U101)</f>
        <v>0</v>
      </c>
      <c r="AD101" s="63">
        <f>($L101+SUM($W101:AC101))*(V$11*V101)</f>
        <v>0</v>
      </c>
      <c r="AE101" s="115">
        <f t="shared" si="99"/>
        <v>-939.8486699632278</v>
      </c>
    </row>
    <row r="102" spans="1:31" ht="12.75">
      <c r="A102" s="3">
        <v>11</v>
      </c>
      <c r="B102" s="15">
        <f t="shared" si="82"/>
        <v>41579</v>
      </c>
      <c r="C102" s="249">
        <f t="shared" si="87"/>
        <v>41612</v>
      </c>
      <c r="D102" s="249">
        <f t="shared" si="87"/>
        <v>41627</v>
      </c>
      <c r="E102" s="30" t="s">
        <v>138</v>
      </c>
      <c r="F102" s="3">
        <v>9</v>
      </c>
      <c r="G102" s="73">
        <v>663</v>
      </c>
      <c r="H102" s="253">
        <f t="shared" si="98"/>
        <v>1586.22</v>
      </c>
      <c r="I102" s="253">
        <f t="shared" si="81"/>
        <v>1491.39</v>
      </c>
      <c r="J102" s="56">
        <f t="shared" si="83"/>
        <v>988791.5700000001</v>
      </c>
      <c r="K102" s="76">
        <f t="shared" si="65"/>
        <v>1051663.86</v>
      </c>
      <c r="L102" s="79">
        <f t="shared" si="95"/>
        <v>-62872.29000000004</v>
      </c>
      <c r="M102" s="77">
        <f t="shared" si="71"/>
        <v>-1091.3143248335994</v>
      </c>
      <c r="N102" s="78">
        <f t="shared" si="96"/>
        <v>-63963.604324833635</v>
      </c>
      <c r="O102" s="16">
        <f t="shared" si="89"/>
        <v>0</v>
      </c>
      <c r="P102" s="16">
        <f t="shared" si="90"/>
        <v>0</v>
      </c>
      <c r="Q102" s="16">
        <f t="shared" si="91"/>
        <v>0</v>
      </c>
      <c r="R102" s="16">
        <f aca="true" t="shared" si="100" ref="R102:R137">IF($D102&lt;R$8,R$12,IF($D102&lt;S$8,S$8-$D102,0))</f>
        <v>13</v>
      </c>
      <c r="S102" s="16">
        <f aca="true" t="shared" si="101" ref="S102:U137">IF($D102&lt;S$8,S$12,IF($D102&lt;T$8,T$8-$D102,0))</f>
        <v>90</v>
      </c>
      <c r="T102" s="16">
        <f t="shared" si="101"/>
        <v>91</v>
      </c>
      <c r="U102" s="16">
        <f t="shared" si="101"/>
        <v>0</v>
      </c>
      <c r="V102" s="111">
        <f t="shared" si="93"/>
        <v>0</v>
      </c>
      <c r="W102" s="146">
        <f t="shared" si="94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-72.77682883561647</v>
      </c>
      <c r="AA102" s="63">
        <f>($L102+SUM($W102:Z102))*(S$11*S102)</f>
        <v>-504.4227958201213</v>
      </c>
      <c r="AB102" s="63">
        <f>($L102+SUM($W102:AA102))*(T$11*T102)</f>
        <v>-514.1147001778616</v>
      </c>
      <c r="AC102" s="63">
        <f>($L102+SUM($W102:AB102))*(U$11*U102)</f>
        <v>0</v>
      </c>
      <c r="AD102" s="63">
        <f>($L102+SUM($W102:AC102))*(V$11*V102)</f>
        <v>0</v>
      </c>
      <c r="AE102" s="115">
        <f t="shared" si="99"/>
        <v>-1091.3143248335994</v>
      </c>
    </row>
    <row r="103" spans="1:31" s="70" customFormat="1" ht="12.75">
      <c r="A103" s="3">
        <v>12</v>
      </c>
      <c r="B103" s="87">
        <f t="shared" si="82"/>
        <v>41609</v>
      </c>
      <c r="C103" s="249">
        <f t="shared" si="87"/>
        <v>41280</v>
      </c>
      <c r="D103" s="249">
        <f t="shared" si="87"/>
        <v>41295</v>
      </c>
      <c r="E103" s="88" t="s">
        <v>138</v>
      </c>
      <c r="F103" s="84">
        <v>9</v>
      </c>
      <c r="G103" s="89">
        <v>741</v>
      </c>
      <c r="H103" s="254">
        <f t="shared" si="98"/>
        <v>1586.22</v>
      </c>
      <c r="I103" s="254">
        <f t="shared" si="81"/>
        <v>1491.39</v>
      </c>
      <c r="J103" s="90">
        <f t="shared" si="83"/>
        <v>1105119.99</v>
      </c>
      <c r="K103" s="91">
        <f t="shared" si="65"/>
        <v>1175389.02</v>
      </c>
      <c r="L103" s="92">
        <f t="shared" si="95"/>
        <v>-70269.03000000003</v>
      </c>
      <c r="M103" s="93">
        <f t="shared" si="71"/>
        <v>-3355.8823539895875</v>
      </c>
      <c r="N103" s="94">
        <f t="shared" si="96"/>
        <v>-73624.91235398961</v>
      </c>
      <c r="O103" s="84">
        <f t="shared" si="89"/>
        <v>70</v>
      </c>
      <c r="P103" s="84">
        <f t="shared" si="90"/>
        <v>91</v>
      </c>
      <c r="Q103" s="84">
        <f t="shared" si="91"/>
        <v>92</v>
      </c>
      <c r="R103" s="84">
        <f t="shared" si="100"/>
        <v>92</v>
      </c>
      <c r="S103" s="84">
        <f t="shared" si="101"/>
        <v>90</v>
      </c>
      <c r="T103" s="84">
        <f t="shared" si="101"/>
        <v>91</v>
      </c>
      <c r="U103" s="84">
        <f t="shared" si="101"/>
        <v>0</v>
      </c>
      <c r="V103" s="112">
        <f t="shared" si="93"/>
        <v>0</v>
      </c>
      <c r="W103" s="147">
        <f t="shared" si="94"/>
        <v>-437.97820068493166</v>
      </c>
      <c r="X103" s="95">
        <f>($L103+SUM($W103:W103))*(P$11*P103)</f>
        <v>-572.920484256235</v>
      </c>
      <c r="Y103" s="95">
        <f>($L103+SUM($W103:X103))*(Q$11*Q103)</f>
        <v>-583.9095527889704</v>
      </c>
      <c r="Z103" s="95">
        <f>($L103+SUM($W103:Y103))*(R$11*R103)</f>
        <v>-588.6928118652415</v>
      </c>
      <c r="AA103" s="95">
        <f>($L103+SUM($W103:Z103))*(S$11*S103)</f>
        <v>-580.6127488221001</v>
      </c>
      <c r="AB103" s="95">
        <f>($L103+SUM($W103:AA103))*(T$11*T103)</f>
        <v>-591.7685555721089</v>
      </c>
      <c r="AC103" s="95">
        <f>($L103+SUM($W103:AB103))*(U$11*U103)</f>
        <v>0</v>
      </c>
      <c r="AD103" s="95">
        <f>($L103+SUM($W103:AC103))*(V$11*V103)</f>
        <v>0</v>
      </c>
      <c r="AE103" s="116">
        <f t="shared" si="99"/>
        <v>-3355.8823539895875</v>
      </c>
    </row>
    <row r="104" spans="1:31" ht="12.75">
      <c r="A104" s="16">
        <v>1</v>
      </c>
      <c r="B104" s="15">
        <f t="shared" si="82"/>
        <v>41275</v>
      </c>
      <c r="C104" s="248">
        <f t="shared" si="87"/>
        <v>41310</v>
      </c>
      <c r="D104" s="248">
        <f t="shared" si="87"/>
        <v>41325</v>
      </c>
      <c r="E104" s="123" t="s">
        <v>136</v>
      </c>
      <c r="F104" s="16">
        <v>9</v>
      </c>
      <c r="G104" s="73">
        <v>91</v>
      </c>
      <c r="H104" s="253">
        <f aca="true" t="shared" si="102" ref="H104:H109">$K$3</f>
        <v>1446.51</v>
      </c>
      <c r="I104" s="253">
        <f t="shared" si="81"/>
        <v>1491.39</v>
      </c>
      <c r="J104" s="56">
        <f t="shared" si="83"/>
        <v>135716.49000000002</v>
      </c>
      <c r="K104" s="57">
        <f t="shared" si="65"/>
        <v>131632.41</v>
      </c>
      <c r="L104" s="58">
        <f t="shared" si="95"/>
        <v>4084.0800000000163</v>
      </c>
      <c r="M104" s="55">
        <f t="shared" si="71"/>
        <v>183.6862444615934</v>
      </c>
      <c r="N104" s="29">
        <f t="shared" si="96"/>
        <v>4267.76624446161</v>
      </c>
      <c r="O104" s="16">
        <f t="shared" si="89"/>
        <v>40</v>
      </c>
      <c r="P104" s="16">
        <f t="shared" si="90"/>
        <v>91</v>
      </c>
      <c r="Q104" s="16">
        <f t="shared" si="91"/>
        <v>92</v>
      </c>
      <c r="R104" s="16">
        <f t="shared" si="100"/>
        <v>92</v>
      </c>
      <c r="S104" s="16">
        <f t="shared" si="101"/>
        <v>90</v>
      </c>
      <c r="T104" s="16">
        <f t="shared" si="101"/>
        <v>91</v>
      </c>
      <c r="U104" s="16">
        <f t="shared" si="101"/>
        <v>0</v>
      </c>
      <c r="V104" s="111">
        <f>IF(W$8&lt;V$8,0,IF($D104&lt;V$8,V$12,IF($D104&lt;W$8,W$8-$D104,0)))</f>
        <v>0</v>
      </c>
      <c r="W104" s="146">
        <f>$L104*O$11*O104</f>
        <v>14.546038356164441</v>
      </c>
      <c r="X104" s="63">
        <f>($L104+SUM($W104:W104))*(P$11*P104)</f>
        <v>33.21010002311891</v>
      </c>
      <c r="Y104" s="63">
        <f>($L104+SUM($W104:X104))*(Q$11*Q104)</f>
        <v>33.84709603768248</v>
      </c>
      <c r="Z104" s="63">
        <f>($L104+SUM($W104:Y104))*(R$11*R104)</f>
        <v>34.124364029881576</v>
      </c>
      <c r="AA104" s="63">
        <f>($L104+SUM($W104:Z104))*(S$11*S104)</f>
        <v>33.65599239851253</v>
      </c>
      <c r="AB104" s="63">
        <f>($L104+SUM($W104:AA104))*(T$11*T104)</f>
        <v>34.30265361623343</v>
      </c>
      <c r="AC104" s="63">
        <f>($L104+SUM($W104:AB104))*(U$11*U104)</f>
        <v>0</v>
      </c>
      <c r="AD104" s="63">
        <f>($L104+SUM($W104:AC104))*(V$11*V104)</f>
        <v>0</v>
      </c>
      <c r="AE104" s="115">
        <f aca="true" t="shared" si="103" ref="AE104:AE109">SUM(W104:AD104)</f>
        <v>183.6862444615934</v>
      </c>
    </row>
    <row r="105" spans="1:31" ht="12.75">
      <c r="A105" s="3">
        <v>2</v>
      </c>
      <c r="B105" s="15">
        <f t="shared" si="82"/>
        <v>41306</v>
      </c>
      <c r="C105" s="249">
        <f t="shared" si="87"/>
        <v>41338</v>
      </c>
      <c r="D105" s="249">
        <f t="shared" si="87"/>
        <v>41353</v>
      </c>
      <c r="E105" s="71" t="s">
        <v>136</v>
      </c>
      <c r="F105" s="3">
        <v>9</v>
      </c>
      <c r="G105" s="73">
        <v>64</v>
      </c>
      <c r="H105" s="253">
        <f t="shared" si="102"/>
        <v>1446.51</v>
      </c>
      <c r="I105" s="253">
        <f t="shared" si="81"/>
        <v>1491.39</v>
      </c>
      <c r="J105" s="56">
        <f t="shared" si="83"/>
        <v>95448.96</v>
      </c>
      <c r="K105" s="57">
        <f t="shared" si="65"/>
        <v>92576.64</v>
      </c>
      <c r="L105" s="58">
        <f t="shared" si="95"/>
        <v>2872.320000000007</v>
      </c>
      <c r="M105" s="55">
        <f t="shared" si="71"/>
        <v>121.72928153181878</v>
      </c>
      <c r="N105" s="29">
        <f t="shared" si="96"/>
        <v>2994.0492815318257</v>
      </c>
      <c r="O105" s="16">
        <f t="shared" si="89"/>
        <v>12</v>
      </c>
      <c r="P105" s="16">
        <f t="shared" si="90"/>
        <v>91</v>
      </c>
      <c r="Q105" s="16">
        <f t="shared" si="91"/>
        <v>92</v>
      </c>
      <c r="R105" s="16">
        <f t="shared" si="100"/>
        <v>92</v>
      </c>
      <c r="S105" s="16">
        <f t="shared" si="101"/>
        <v>90</v>
      </c>
      <c r="T105" s="16">
        <f t="shared" si="101"/>
        <v>91</v>
      </c>
      <c r="U105" s="16">
        <f t="shared" si="101"/>
        <v>0</v>
      </c>
      <c r="V105" s="111">
        <f aca="true" t="shared" si="104" ref="V105:V115">IF(W$8&lt;V$8,0,IF($D105&lt;V$8,V$12,IF($D105&lt;W$8,W$8-$D105,0)))</f>
        <v>0</v>
      </c>
      <c r="W105" s="146">
        <f aca="true" t="shared" si="105" ref="W105:W115">$L105*O$11*O105</f>
        <v>3.06905424657535</v>
      </c>
      <c r="X105" s="63">
        <f>($L105+SUM($W105:W105))*(P$11*P105)</f>
        <v>23.29852911762813</v>
      </c>
      <c r="Y105" s="63">
        <f>($L105+SUM($W105:X105))*(Q$11*Q105)</f>
        <v>23.745413354134218</v>
      </c>
      <c r="Z105" s="63">
        <f>($L105+SUM($W105:Y105))*(R$11*R105)</f>
        <v>23.939930575857122</v>
      </c>
      <c r="AA105" s="63">
        <f>($L105+SUM($W105:Z105))*(S$11*S105)</f>
        <v>23.611344691330245</v>
      </c>
      <c r="AB105" s="63">
        <f>($L105+SUM($W105:AA105))*(T$11*T105)</f>
        <v>24.065009546293727</v>
      </c>
      <c r="AC105" s="63">
        <f>($L105+SUM($W105:AB105))*(U$11*U105)</f>
        <v>0</v>
      </c>
      <c r="AD105" s="63">
        <f>($L105+SUM($W105:AC105))*(V$11*V105)</f>
        <v>0</v>
      </c>
      <c r="AE105" s="115">
        <f t="shared" si="103"/>
        <v>121.72928153181878</v>
      </c>
    </row>
    <row r="106" spans="1:31" ht="12.75">
      <c r="A106" s="3">
        <v>3</v>
      </c>
      <c r="B106" s="15">
        <f t="shared" si="82"/>
        <v>41334</v>
      </c>
      <c r="C106" s="249">
        <f t="shared" si="87"/>
        <v>41367</v>
      </c>
      <c r="D106" s="249">
        <f t="shared" si="87"/>
        <v>41382</v>
      </c>
      <c r="E106" s="71" t="s">
        <v>136</v>
      </c>
      <c r="F106" s="3">
        <v>9</v>
      </c>
      <c r="G106" s="73">
        <v>78</v>
      </c>
      <c r="H106" s="253">
        <f t="shared" si="102"/>
        <v>1446.51</v>
      </c>
      <c r="I106" s="253">
        <f t="shared" si="81"/>
        <v>1491.39</v>
      </c>
      <c r="J106" s="56">
        <f t="shared" si="83"/>
        <v>116328.42000000001</v>
      </c>
      <c r="K106" s="57">
        <f t="shared" si="65"/>
        <v>112827.78</v>
      </c>
      <c r="L106" s="58">
        <f>+J106-K106</f>
        <v>3500.640000000014</v>
      </c>
      <c r="M106" s="55">
        <f t="shared" si="71"/>
        <v>138.98955562077802</v>
      </c>
      <c r="N106" s="29">
        <f>SUM(L106:M106)</f>
        <v>3639.629555620792</v>
      </c>
      <c r="O106" s="16">
        <f t="shared" si="89"/>
        <v>0</v>
      </c>
      <c r="P106" s="16">
        <f t="shared" si="90"/>
        <v>74</v>
      </c>
      <c r="Q106" s="16">
        <f t="shared" si="91"/>
        <v>92</v>
      </c>
      <c r="R106" s="16">
        <f t="shared" si="100"/>
        <v>92</v>
      </c>
      <c r="S106" s="16">
        <f t="shared" si="101"/>
        <v>90</v>
      </c>
      <c r="T106" s="16">
        <f t="shared" si="101"/>
        <v>91</v>
      </c>
      <c r="U106" s="16">
        <f t="shared" si="101"/>
        <v>0</v>
      </c>
      <c r="V106" s="111">
        <f t="shared" si="104"/>
        <v>0</v>
      </c>
      <c r="W106" s="146">
        <f t="shared" si="105"/>
        <v>0</v>
      </c>
      <c r="X106" s="63">
        <f>($L106+SUM($W106:W106))*(P$11*P106)</f>
        <v>23.065860821917898</v>
      </c>
      <c r="Y106" s="63">
        <f>($L106+SUM($W106:X106))*(Q$11*Q106)</f>
        <v>28.86542609276048</v>
      </c>
      <c r="Z106" s="63">
        <f>($L106+SUM($W106:Y106))*(R$11*R106)</f>
        <v>29.10188533664364</v>
      </c>
      <c r="AA106" s="63">
        <f>($L106+SUM($W106:Z106))*(S$11*S106)</f>
        <v>28.70244939406892</v>
      </c>
      <c r="AB106" s="63">
        <f>($L106+SUM($W106:AA106))*(T$11*T106)</f>
        <v>29.25393397538708</v>
      </c>
      <c r="AC106" s="63">
        <f>($L106+SUM($W106:AB106))*(U$11*U106)</f>
        <v>0</v>
      </c>
      <c r="AD106" s="63">
        <f>($L106+SUM($W106:AC106))*(V$11*V106)</f>
        <v>0</v>
      </c>
      <c r="AE106" s="115">
        <f t="shared" si="103"/>
        <v>138.98955562077802</v>
      </c>
    </row>
    <row r="107" spans="1:31" ht="12.75">
      <c r="A107" s="16">
        <v>4</v>
      </c>
      <c r="B107" s="15">
        <f t="shared" si="82"/>
        <v>41365</v>
      </c>
      <c r="C107" s="249">
        <f t="shared" si="87"/>
        <v>41397</v>
      </c>
      <c r="D107" s="249">
        <f t="shared" si="87"/>
        <v>41414</v>
      </c>
      <c r="E107" s="30" t="s">
        <v>136</v>
      </c>
      <c r="F107" s="3">
        <v>9</v>
      </c>
      <c r="G107" s="73">
        <v>51</v>
      </c>
      <c r="H107" s="253">
        <f t="shared" si="102"/>
        <v>1446.51</v>
      </c>
      <c r="I107" s="253">
        <f t="shared" si="81"/>
        <v>1491.39</v>
      </c>
      <c r="J107" s="56">
        <f t="shared" si="83"/>
        <v>76060.89</v>
      </c>
      <c r="K107" s="57">
        <f t="shared" si="65"/>
        <v>73772.01</v>
      </c>
      <c r="L107" s="58">
        <f aca="true" t="shared" si="106" ref="L107:L117">+J107-K107</f>
        <v>2288.8800000000047</v>
      </c>
      <c r="M107" s="55">
        <f t="shared" si="71"/>
        <v>84.14149236538444</v>
      </c>
      <c r="N107" s="29">
        <f aca="true" t="shared" si="107" ref="N107:N117">SUM(L107:M107)</f>
        <v>2373.021492365389</v>
      </c>
      <c r="O107" s="16">
        <f aca="true" t="shared" si="108" ref="O107:U107">IF($D107&lt;O$8,O$12,IF($D107&lt;P$8,P$8-$D107,0))</f>
        <v>0</v>
      </c>
      <c r="P107" s="16">
        <f t="shared" si="108"/>
        <v>42</v>
      </c>
      <c r="Q107" s="16">
        <f t="shared" si="108"/>
        <v>92</v>
      </c>
      <c r="R107" s="16">
        <f t="shared" si="108"/>
        <v>92</v>
      </c>
      <c r="S107" s="16">
        <f t="shared" si="108"/>
        <v>90</v>
      </c>
      <c r="T107" s="16">
        <f t="shared" si="108"/>
        <v>91</v>
      </c>
      <c r="U107" s="16">
        <f t="shared" si="108"/>
        <v>0</v>
      </c>
      <c r="V107" s="111">
        <f>IF(W$8&lt;V$8,0,IF($D107&lt;V$8,V$12,IF($D107&lt;W$8,W$8-$D107,0)))</f>
        <v>0</v>
      </c>
      <c r="W107" s="146">
        <f>$L107*O$11*O107</f>
        <v>0</v>
      </c>
      <c r="X107" s="63">
        <f>($L107+SUM($W107:W107))*(P$11*P107)</f>
        <v>8.559784109589058</v>
      </c>
      <c r="Y107" s="63">
        <f>($L107+SUM($W107:X107))*(Q$11*Q107)</f>
        <v>18.820123162979957</v>
      </c>
      <c r="Z107" s="63">
        <f>($L107+SUM($W107:Y107))*(R$11*R107)</f>
        <v>18.974293486972588</v>
      </c>
      <c r="AA107" s="63">
        <f>($L107+SUM($W107:Z107))*(S$11*S107)</f>
        <v>18.713863115675814</v>
      </c>
      <c r="AB107" s="63">
        <f>($L107+SUM($W107:AA107))*(T$11*T107)</f>
        <v>19.07342849016704</v>
      </c>
      <c r="AC107" s="63">
        <f>($L107+SUM($W107:AB107))*(U$11*U107)</f>
        <v>0</v>
      </c>
      <c r="AD107" s="63">
        <f>($L107+SUM($W107:AC107))*(V$11*V107)</f>
        <v>0</v>
      </c>
      <c r="AE107" s="115">
        <f t="shared" si="103"/>
        <v>84.14149236538444</v>
      </c>
    </row>
    <row r="108" spans="1:31" ht="12.75">
      <c r="A108" s="3">
        <v>5</v>
      </c>
      <c r="B108" s="15">
        <f t="shared" si="82"/>
        <v>41395</v>
      </c>
      <c r="C108" s="249">
        <f t="shared" si="87"/>
        <v>41430</v>
      </c>
      <c r="D108" s="249">
        <f t="shared" si="87"/>
        <v>41445</v>
      </c>
      <c r="E108" s="30" t="s">
        <v>136</v>
      </c>
      <c r="F108" s="3">
        <v>9</v>
      </c>
      <c r="G108" s="73">
        <v>71</v>
      </c>
      <c r="H108" s="253">
        <f t="shared" si="102"/>
        <v>1446.51</v>
      </c>
      <c r="I108" s="253">
        <f t="shared" si="81"/>
        <v>1491.39</v>
      </c>
      <c r="J108" s="56">
        <f t="shared" si="83"/>
        <v>105888.69</v>
      </c>
      <c r="K108" s="57">
        <f t="shared" si="65"/>
        <v>102702.21</v>
      </c>
      <c r="L108" s="58">
        <f t="shared" si="106"/>
        <v>3186.479999999996</v>
      </c>
      <c r="M108" s="55">
        <f t="shared" si="71"/>
        <v>108.05323992380339</v>
      </c>
      <c r="N108" s="29">
        <f t="shared" si="107"/>
        <v>3294.533239923799</v>
      </c>
      <c r="O108" s="16">
        <f t="shared" si="89"/>
        <v>0</v>
      </c>
      <c r="P108" s="16">
        <f t="shared" si="90"/>
        <v>11</v>
      </c>
      <c r="Q108" s="16">
        <f t="shared" si="91"/>
        <v>92</v>
      </c>
      <c r="R108" s="16">
        <f t="shared" si="100"/>
        <v>92</v>
      </c>
      <c r="S108" s="16">
        <f t="shared" si="101"/>
        <v>90</v>
      </c>
      <c r="T108" s="16">
        <f t="shared" si="101"/>
        <v>91</v>
      </c>
      <c r="U108" s="16">
        <f t="shared" si="101"/>
        <v>0</v>
      </c>
      <c r="V108" s="111">
        <f t="shared" si="104"/>
        <v>0</v>
      </c>
      <c r="W108" s="146">
        <f t="shared" si="105"/>
        <v>0</v>
      </c>
      <c r="X108" s="63">
        <f>($L108+SUM($W108:W108))*(P$11*P108)</f>
        <v>3.12100438356164</v>
      </c>
      <c r="Y108" s="63">
        <f>($L108+SUM($W108:X108))*(Q$11*Q108)</f>
        <v>26.128512337279005</v>
      </c>
      <c r="Z108" s="63">
        <f>($L108+SUM($W108:Y108))*(R$11*R108)</f>
        <v>26.34255138354877</v>
      </c>
      <c r="AA108" s="63">
        <f>($L108+SUM($W108:Z108))*(S$11*S108)</f>
        <v>25.9809884909735</v>
      </c>
      <c r="AB108" s="63">
        <f>($L108+SUM($W108:AA108))*(T$11*T108)</f>
        <v>26.480183328440475</v>
      </c>
      <c r="AC108" s="63">
        <f>($L108+SUM($W108:AB108))*(U$11*U108)</f>
        <v>0</v>
      </c>
      <c r="AD108" s="63">
        <f>($L108+SUM($W108:AC108))*(V$11*V108)</f>
        <v>0</v>
      </c>
      <c r="AE108" s="115">
        <f t="shared" si="103"/>
        <v>108.05323992380339</v>
      </c>
    </row>
    <row r="109" spans="1:31" ht="12.75">
      <c r="A109" s="3">
        <v>6</v>
      </c>
      <c r="B109" s="15">
        <f t="shared" si="82"/>
        <v>41426</v>
      </c>
      <c r="C109" s="249">
        <f t="shared" si="87"/>
        <v>41460</v>
      </c>
      <c r="D109" s="249">
        <f t="shared" si="87"/>
        <v>41477</v>
      </c>
      <c r="E109" s="30" t="s">
        <v>136</v>
      </c>
      <c r="F109" s="3">
        <v>9</v>
      </c>
      <c r="G109" s="73">
        <v>84</v>
      </c>
      <c r="H109" s="253">
        <f t="shared" si="102"/>
        <v>1446.51</v>
      </c>
      <c r="I109" s="253">
        <f t="shared" si="81"/>
        <v>1491.39</v>
      </c>
      <c r="J109" s="56">
        <f t="shared" si="83"/>
        <v>125276.76000000001</v>
      </c>
      <c r="K109" s="57">
        <f t="shared" si="65"/>
        <v>121506.84</v>
      </c>
      <c r="L109" s="79">
        <f t="shared" si="106"/>
        <v>3769.920000000013</v>
      </c>
      <c r="M109" s="80">
        <f t="shared" si="71"/>
        <v>116.80172437301529</v>
      </c>
      <c r="N109" s="78">
        <f t="shared" si="107"/>
        <v>3886.721724373028</v>
      </c>
      <c r="O109" s="16">
        <f t="shared" si="89"/>
        <v>0</v>
      </c>
      <c r="P109" s="16">
        <f t="shared" si="90"/>
        <v>0</v>
      </c>
      <c r="Q109" s="16">
        <f t="shared" si="91"/>
        <v>71</v>
      </c>
      <c r="R109" s="16">
        <f t="shared" si="100"/>
        <v>92</v>
      </c>
      <c r="S109" s="16">
        <f t="shared" si="101"/>
        <v>90</v>
      </c>
      <c r="T109" s="16">
        <f t="shared" si="101"/>
        <v>91</v>
      </c>
      <c r="U109" s="16">
        <f t="shared" si="101"/>
        <v>0</v>
      </c>
      <c r="V109" s="111">
        <f t="shared" si="104"/>
        <v>0</v>
      </c>
      <c r="W109" s="146">
        <f t="shared" si="105"/>
        <v>0</v>
      </c>
      <c r="X109" s="63">
        <f>($L109+SUM($W109:W109))*(P$11*P109)</f>
        <v>0</v>
      </c>
      <c r="Y109" s="63">
        <f>($L109+SUM($W109:X109))*(Q$11*Q109)</f>
        <v>23.833124383561724</v>
      </c>
      <c r="Z109" s="63">
        <f>($L109+SUM($W109:Y109))*(R$11*R109)</f>
        <v>31.07759408741613</v>
      </c>
      <c r="AA109" s="63">
        <f>($L109+SUM($W109:Z109))*(S$11*S109)</f>
        <v>30.65104068911684</v>
      </c>
      <c r="AB109" s="63">
        <f>($L109+SUM($W109:AA109))*(T$11*T109)</f>
        <v>31.2399652129206</v>
      </c>
      <c r="AC109" s="63">
        <f>($L109+SUM($W109:AB109))*(U$11*U109)</f>
        <v>0</v>
      </c>
      <c r="AD109" s="63">
        <f>($L109+SUM($W109:AC109))*(V$11*V109)</f>
        <v>0</v>
      </c>
      <c r="AE109" s="115">
        <f t="shared" si="103"/>
        <v>116.80172437301529</v>
      </c>
    </row>
    <row r="110" spans="1:31" ht="12.75">
      <c r="A110" s="16">
        <v>7</v>
      </c>
      <c r="B110" s="15">
        <f t="shared" si="82"/>
        <v>41456</v>
      </c>
      <c r="C110" s="249">
        <f t="shared" si="87"/>
        <v>41491</v>
      </c>
      <c r="D110" s="249">
        <f t="shared" si="87"/>
        <v>41506</v>
      </c>
      <c r="E110" s="30" t="s">
        <v>136</v>
      </c>
      <c r="F110" s="3">
        <v>9</v>
      </c>
      <c r="G110" s="73">
        <v>88</v>
      </c>
      <c r="H110" s="253">
        <f aca="true" t="shared" si="109" ref="H110:H115">$K$8</f>
        <v>1586.22</v>
      </c>
      <c r="I110" s="253">
        <f t="shared" si="81"/>
        <v>1491.39</v>
      </c>
      <c r="J110" s="56">
        <f t="shared" si="83"/>
        <v>131242.32</v>
      </c>
      <c r="K110" s="76">
        <f t="shared" si="65"/>
        <v>139587.36000000002</v>
      </c>
      <c r="L110" s="79">
        <f t="shared" si="106"/>
        <v>-8345.040000000008</v>
      </c>
      <c r="M110" s="77">
        <f t="shared" si="71"/>
        <v>-236.47404100121344</v>
      </c>
      <c r="N110" s="78">
        <f t="shared" si="107"/>
        <v>-8581.51404100122</v>
      </c>
      <c r="O110" s="16">
        <f t="shared" si="89"/>
        <v>0</v>
      </c>
      <c r="P110" s="16">
        <f t="shared" si="90"/>
        <v>0</v>
      </c>
      <c r="Q110" s="16">
        <f t="shared" si="91"/>
        <v>42</v>
      </c>
      <c r="R110" s="16">
        <f t="shared" si="100"/>
        <v>92</v>
      </c>
      <c r="S110" s="16">
        <f t="shared" si="101"/>
        <v>90</v>
      </c>
      <c r="T110" s="16">
        <f t="shared" si="101"/>
        <v>91</v>
      </c>
      <c r="U110" s="16">
        <f t="shared" si="101"/>
        <v>0</v>
      </c>
      <c r="V110" s="111">
        <f t="shared" si="104"/>
        <v>0</v>
      </c>
      <c r="W110" s="146">
        <f t="shared" si="105"/>
        <v>0</v>
      </c>
      <c r="X110" s="63">
        <f>($L110+SUM($W110:W110))*(P$11*P110)</f>
        <v>0</v>
      </c>
      <c r="Y110" s="63">
        <f>($L110+SUM($W110:X110))*(Q$11*Q110)</f>
        <v>-31.208163287671265</v>
      </c>
      <c r="Z110" s="63">
        <f>($L110+SUM($W110:Y110))*(R$11*R110)</f>
        <v>-68.61638906364426</v>
      </c>
      <c r="AA110" s="63">
        <f>($L110+SUM($W110:Z110))*(S$11*S110)</f>
        <v>-67.6745994948702</v>
      </c>
      <c r="AB110" s="63">
        <f>($L110+SUM($W110:AA110))*(T$11*T110)</f>
        <v>-68.97488915502772</v>
      </c>
      <c r="AC110" s="63">
        <f>($L110+SUM($W110:AB110))*(U$11*U110)</f>
        <v>0</v>
      </c>
      <c r="AD110" s="63">
        <f>($L110+SUM($W110:AC110))*(V$11*V110)</f>
        <v>0</v>
      </c>
      <c r="AE110" s="115">
        <f aca="true" t="shared" si="110" ref="AE110:AE115">SUM(W110:AD110)</f>
        <v>-236.47404100121344</v>
      </c>
    </row>
    <row r="111" spans="1:31" ht="12.75">
      <c r="A111" s="3">
        <v>8</v>
      </c>
      <c r="B111" s="15">
        <f t="shared" si="82"/>
        <v>41487</v>
      </c>
      <c r="C111" s="249">
        <f t="shared" si="87"/>
        <v>41522</v>
      </c>
      <c r="D111" s="249">
        <f t="shared" si="87"/>
        <v>41537</v>
      </c>
      <c r="E111" s="30" t="s">
        <v>136</v>
      </c>
      <c r="F111" s="3">
        <v>9</v>
      </c>
      <c r="G111" s="73">
        <v>90</v>
      </c>
      <c r="H111" s="253">
        <f t="shared" si="109"/>
        <v>1586.22</v>
      </c>
      <c r="I111" s="253">
        <f t="shared" si="81"/>
        <v>1491.39</v>
      </c>
      <c r="J111" s="56">
        <f t="shared" si="83"/>
        <v>134225.1</v>
      </c>
      <c r="K111" s="76">
        <f t="shared" si="65"/>
        <v>142759.8</v>
      </c>
      <c r="L111" s="79">
        <f t="shared" si="106"/>
        <v>-8534.699999999983</v>
      </c>
      <c r="M111" s="77">
        <f t="shared" si="71"/>
        <v>-217.71303261771527</v>
      </c>
      <c r="N111" s="78">
        <f t="shared" si="107"/>
        <v>-8752.413032617698</v>
      </c>
      <c r="O111" s="16">
        <f t="shared" si="89"/>
        <v>0</v>
      </c>
      <c r="P111" s="16">
        <f t="shared" si="90"/>
        <v>0</v>
      </c>
      <c r="Q111" s="16">
        <f t="shared" si="91"/>
        <v>11</v>
      </c>
      <c r="R111" s="16">
        <f t="shared" si="100"/>
        <v>92</v>
      </c>
      <c r="S111" s="16">
        <f t="shared" si="101"/>
        <v>90</v>
      </c>
      <c r="T111" s="16">
        <f t="shared" si="101"/>
        <v>91</v>
      </c>
      <c r="U111" s="16">
        <f t="shared" si="101"/>
        <v>0</v>
      </c>
      <c r="V111" s="111">
        <f t="shared" si="104"/>
        <v>0</v>
      </c>
      <c r="W111" s="146">
        <f t="shared" si="105"/>
        <v>0</v>
      </c>
      <c r="X111" s="63">
        <f>($L111+SUM($W111:W111))*(P$11*P111)</f>
        <v>0</v>
      </c>
      <c r="Y111" s="63">
        <f>($L111+SUM($W111:X111))*(Q$11*Q111)</f>
        <v>-8.359329452054777</v>
      </c>
      <c r="Z111" s="63">
        <f>($L111+SUM($W111:Y111))*(R$11*R111)</f>
        <v>-69.9828695755112</v>
      </c>
      <c r="AA111" s="63">
        <f>($L111+SUM($W111:Z111))*(S$11*S111)</f>
        <v>-69.02232447165912</v>
      </c>
      <c r="AB111" s="63">
        <f>($L111+SUM($W111:AA111))*(T$11*T111)</f>
        <v>-70.34850911849016</v>
      </c>
      <c r="AC111" s="63">
        <f>($L111+SUM($W111:AB111))*(U$11*U111)</f>
        <v>0</v>
      </c>
      <c r="AD111" s="63">
        <f>($L111+SUM($W111:AC111))*(V$11*V111)</f>
        <v>0</v>
      </c>
      <c r="AE111" s="115">
        <f t="shared" si="110"/>
        <v>-217.71303261771527</v>
      </c>
    </row>
    <row r="112" spans="1:31" ht="12.75">
      <c r="A112" s="3">
        <v>9</v>
      </c>
      <c r="B112" s="15">
        <f t="shared" si="82"/>
        <v>41518</v>
      </c>
      <c r="C112" s="249">
        <f aca="true" t="shared" si="111" ref="C112:D131">+C100</f>
        <v>41550</v>
      </c>
      <c r="D112" s="249">
        <f t="shared" si="111"/>
        <v>41565</v>
      </c>
      <c r="E112" s="30" t="s">
        <v>136</v>
      </c>
      <c r="F112" s="3">
        <v>9</v>
      </c>
      <c r="G112" s="73">
        <v>80</v>
      </c>
      <c r="H112" s="253">
        <f t="shared" si="109"/>
        <v>1586.22</v>
      </c>
      <c r="I112" s="253">
        <f t="shared" si="81"/>
        <v>1491.39</v>
      </c>
      <c r="J112" s="56">
        <f t="shared" si="83"/>
        <v>119311.20000000001</v>
      </c>
      <c r="K112" s="76">
        <f t="shared" si="65"/>
        <v>126897.6</v>
      </c>
      <c r="L112" s="79">
        <f t="shared" si="106"/>
        <v>-7586.399999999994</v>
      </c>
      <c r="M112" s="77">
        <f t="shared" si="71"/>
        <v>-174.24074812999976</v>
      </c>
      <c r="N112" s="78">
        <f t="shared" si="107"/>
        <v>-7760.640748129994</v>
      </c>
      <c r="O112" s="16">
        <f t="shared" si="89"/>
        <v>0</v>
      </c>
      <c r="P112" s="16">
        <f t="shared" si="90"/>
        <v>0</v>
      </c>
      <c r="Q112" s="16">
        <f t="shared" si="91"/>
        <v>0</v>
      </c>
      <c r="R112" s="16">
        <f t="shared" si="100"/>
        <v>75</v>
      </c>
      <c r="S112" s="16">
        <f t="shared" si="101"/>
        <v>90</v>
      </c>
      <c r="T112" s="16">
        <f t="shared" si="101"/>
        <v>91</v>
      </c>
      <c r="U112" s="16">
        <f t="shared" si="101"/>
        <v>0</v>
      </c>
      <c r="V112" s="111">
        <f t="shared" si="104"/>
        <v>0</v>
      </c>
      <c r="W112" s="146">
        <f t="shared" si="105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-50.66260273972599</v>
      </c>
      <c r="AA112" s="63">
        <f>($L112+SUM($W112:Z112))*(S$11*S112)</f>
        <v>-61.201118117845695</v>
      </c>
      <c r="AB112" s="63">
        <f>($L112+SUM($W112:AA112))*(T$11*T112)</f>
        <v>-62.37702727242809</v>
      </c>
      <c r="AC112" s="63">
        <f>($L112+SUM($W112:AB112))*(U$11*U112)</f>
        <v>0</v>
      </c>
      <c r="AD112" s="63">
        <f>($L112+SUM($W112:AC112))*(V$11*V112)</f>
        <v>0</v>
      </c>
      <c r="AE112" s="115">
        <f t="shared" si="110"/>
        <v>-174.24074812999976</v>
      </c>
    </row>
    <row r="113" spans="1:31" ht="12.75">
      <c r="A113" s="16">
        <v>10</v>
      </c>
      <c r="B113" s="15">
        <f t="shared" si="82"/>
        <v>41548</v>
      </c>
      <c r="C113" s="249">
        <f t="shared" si="111"/>
        <v>41583</v>
      </c>
      <c r="D113" s="249">
        <f t="shared" si="111"/>
        <v>41598</v>
      </c>
      <c r="E113" s="30" t="s">
        <v>136</v>
      </c>
      <c r="F113" s="3">
        <v>9</v>
      </c>
      <c r="G113" s="73">
        <v>65</v>
      </c>
      <c r="H113" s="253">
        <f t="shared" si="109"/>
        <v>1586.22</v>
      </c>
      <c r="I113" s="253">
        <f t="shared" si="81"/>
        <v>1491.39</v>
      </c>
      <c r="J113" s="56">
        <f t="shared" si="83"/>
        <v>96940.35</v>
      </c>
      <c r="K113" s="76">
        <f t="shared" si="65"/>
        <v>103104.3</v>
      </c>
      <c r="L113" s="79">
        <f t="shared" si="106"/>
        <v>-6163.949999999997</v>
      </c>
      <c r="M113" s="77">
        <f t="shared" si="71"/>
        <v>-123.16565231372957</v>
      </c>
      <c r="N113" s="78">
        <f t="shared" si="107"/>
        <v>-6287.115652313727</v>
      </c>
      <c r="O113" s="16">
        <f t="shared" si="89"/>
        <v>0</v>
      </c>
      <c r="P113" s="16">
        <f t="shared" si="90"/>
        <v>0</v>
      </c>
      <c r="Q113" s="16">
        <f t="shared" si="91"/>
        <v>0</v>
      </c>
      <c r="R113" s="16">
        <f t="shared" si="100"/>
        <v>42</v>
      </c>
      <c r="S113" s="16">
        <f t="shared" si="101"/>
        <v>90</v>
      </c>
      <c r="T113" s="16">
        <f t="shared" si="101"/>
        <v>91</v>
      </c>
      <c r="U113" s="16">
        <f t="shared" si="101"/>
        <v>0</v>
      </c>
      <c r="V113" s="111">
        <f t="shared" si="104"/>
        <v>0</v>
      </c>
      <c r="W113" s="146">
        <f t="shared" si="105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-23.05148424657533</v>
      </c>
      <c r="AA113" s="63">
        <f>($L113+SUM($W113:Z113))*(S$11*S113)</f>
        <v>-49.58076531896226</v>
      </c>
      <c r="AB113" s="63">
        <f>($L113+SUM($W113:AA113))*(T$11*T113)</f>
        <v>-50.53340274819197</v>
      </c>
      <c r="AC113" s="63">
        <f>($L113+SUM($W113:AB113))*(U$11*U113)</f>
        <v>0</v>
      </c>
      <c r="AD113" s="63">
        <f>($L113+SUM($W113:AC113))*(V$11*V113)</f>
        <v>0</v>
      </c>
      <c r="AE113" s="115">
        <f t="shared" si="110"/>
        <v>-123.16565231372957</v>
      </c>
    </row>
    <row r="114" spans="1:31" ht="12.75">
      <c r="A114" s="3">
        <v>11</v>
      </c>
      <c r="B114" s="15">
        <f t="shared" si="82"/>
        <v>41579</v>
      </c>
      <c r="C114" s="249">
        <f t="shared" si="111"/>
        <v>41612</v>
      </c>
      <c r="D114" s="249">
        <f t="shared" si="111"/>
        <v>41627</v>
      </c>
      <c r="E114" s="30" t="s">
        <v>136</v>
      </c>
      <c r="F114" s="3">
        <v>9</v>
      </c>
      <c r="G114" s="73">
        <v>88</v>
      </c>
      <c r="H114" s="253">
        <f t="shared" si="109"/>
        <v>1586.22</v>
      </c>
      <c r="I114" s="253">
        <f t="shared" si="81"/>
        <v>1491.39</v>
      </c>
      <c r="J114" s="56">
        <f t="shared" si="83"/>
        <v>131242.32</v>
      </c>
      <c r="K114" s="76">
        <f t="shared" si="65"/>
        <v>139587.36000000002</v>
      </c>
      <c r="L114" s="79">
        <f t="shared" si="106"/>
        <v>-8345.040000000008</v>
      </c>
      <c r="M114" s="77">
        <f t="shared" si="71"/>
        <v>-144.8501667954099</v>
      </c>
      <c r="N114" s="78">
        <f t="shared" si="107"/>
        <v>-8489.890166795418</v>
      </c>
      <c r="O114" s="16">
        <f t="shared" si="89"/>
        <v>0</v>
      </c>
      <c r="P114" s="16">
        <f t="shared" si="90"/>
        <v>0</v>
      </c>
      <c r="Q114" s="16">
        <f t="shared" si="91"/>
        <v>0</v>
      </c>
      <c r="R114" s="16">
        <f t="shared" si="100"/>
        <v>13</v>
      </c>
      <c r="S114" s="16">
        <f t="shared" si="101"/>
        <v>90</v>
      </c>
      <c r="T114" s="16">
        <f t="shared" si="101"/>
        <v>91</v>
      </c>
      <c r="U114" s="16">
        <f t="shared" si="101"/>
        <v>0</v>
      </c>
      <c r="V114" s="111">
        <f t="shared" si="104"/>
        <v>0</v>
      </c>
      <c r="W114" s="146">
        <f t="shared" si="105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-9.659669589041105</v>
      </c>
      <c r="AA114" s="63">
        <f>($L114+SUM($W114:Z114))*(S$11*S114)</f>
        <v>-66.95204529739168</v>
      </c>
      <c r="AB114" s="63">
        <f>($L114+SUM($W114:AA114))*(T$11*T114)</f>
        <v>-68.23845190897711</v>
      </c>
      <c r="AC114" s="63">
        <f>($L114+SUM($W114:AB114))*(U$11*U114)</f>
        <v>0</v>
      </c>
      <c r="AD114" s="63">
        <f>($L114+SUM($W114:AC114))*(V$11*V114)</f>
        <v>0</v>
      </c>
      <c r="AE114" s="115">
        <f t="shared" si="110"/>
        <v>-144.8501667954099</v>
      </c>
    </row>
    <row r="115" spans="1:31" s="70" customFormat="1" ht="12.75">
      <c r="A115" s="3">
        <v>12</v>
      </c>
      <c r="B115" s="87">
        <f t="shared" si="82"/>
        <v>41609</v>
      </c>
      <c r="C115" s="249">
        <f t="shared" si="111"/>
        <v>41280</v>
      </c>
      <c r="D115" s="249">
        <f t="shared" si="111"/>
        <v>41295</v>
      </c>
      <c r="E115" s="88" t="s">
        <v>136</v>
      </c>
      <c r="F115" s="84">
        <v>9</v>
      </c>
      <c r="G115" s="89">
        <v>98</v>
      </c>
      <c r="H115" s="254">
        <f t="shared" si="109"/>
        <v>1586.22</v>
      </c>
      <c r="I115" s="254">
        <f t="shared" si="81"/>
        <v>1491.39</v>
      </c>
      <c r="J115" s="90">
        <f t="shared" si="83"/>
        <v>146156.22</v>
      </c>
      <c r="K115" s="91">
        <f t="shared" si="65"/>
        <v>155449.56</v>
      </c>
      <c r="L115" s="92">
        <f t="shared" si="106"/>
        <v>-9293.339999999997</v>
      </c>
      <c r="M115" s="93">
        <f t="shared" si="71"/>
        <v>-443.82789566933786</v>
      </c>
      <c r="N115" s="94">
        <f t="shared" si="107"/>
        <v>-9737.167895669334</v>
      </c>
      <c r="O115" s="84">
        <f t="shared" si="89"/>
        <v>70</v>
      </c>
      <c r="P115" s="84">
        <f t="shared" si="90"/>
        <v>91</v>
      </c>
      <c r="Q115" s="84">
        <f t="shared" si="91"/>
        <v>92</v>
      </c>
      <c r="R115" s="84">
        <f t="shared" si="100"/>
        <v>92</v>
      </c>
      <c r="S115" s="84">
        <f t="shared" si="101"/>
        <v>90</v>
      </c>
      <c r="T115" s="84">
        <f t="shared" si="101"/>
        <v>91</v>
      </c>
      <c r="U115" s="84">
        <f t="shared" si="101"/>
        <v>0</v>
      </c>
      <c r="V115" s="112">
        <f t="shared" si="104"/>
        <v>0</v>
      </c>
      <c r="W115" s="147">
        <f t="shared" si="105"/>
        <v>-57.9242424657534</v>
      </c>
      <c r="X115" s="95">
        <f>($L115+SUM($W115:W115))*(P$11*P115)</f>
        <v>-75.77086026600672</v>
      </c>
      <c r="Y115" s="95">
        <f>($L115+SUM($W115:X115))*(Q$11*Q115)</f>
        <v>-77.22420536210397</v>
      </c>
      <c r="Z115" s="95">
        <f>($L115+SUM($W115:Y115))*(R$11*R115)</f>
        <v>-77.85680912657709</v>
      </c>
      <c r="AA115" s="95">
        <f>($L115+SUM($W115:Z115))*(S$11*S115)</f>
        <v>-76.78819080238296</v>
      </c>
      <c r="AB115" s="95">
        <f>($L115+SUM($W115:AA115))*(T$11*T115)</f>
        <v>-78.26358764651367</v>
      </c>
      <c r="AC115" s="95">
        <f>($L115+SUM($W115:AB115))*(U$11*U115)</f>
        <v>0</v>
      </c>
      <c r="AD115" s="95">
        <f>($L115+SUM($W115:AC115))*(V$11*V115)</f>
        <v>0</v>
      </c>
      <c r="AE115" s="116">
        <f t="shared" si="110"/>
        <v>-443.82789566933786</v>
      </c>
    </row>
    <row r="116" spans="1:31" ht="12.75">
      <c r="A116" s="16">
        <v>1</v>
      </c>
      <c r="B116" s="15">
        <f t="shared" si="82"/>
        <v>41275</v>
      </c>
      <c r="C116" s="248">
        <f t="shared" si="111"/>
        <v>41310</v>
      </c>
      <c r="D116" s="248">
        <f t="shared" si="111"/>
        <v>41325</v>
      </c>
      <c r="E116" s="123" t="s">
        <v>139</v>
      </c>
      <c r="F116" s="16">
        <v>9</v>
      </c>
      <c r="G116" s="73">
        <v>109</v>
      </c>
      <c r="H116" s="253">
        <f aca="true" t="shared" si="112" ref="H116:H121">$K$3</f>
        <v>1446.51</v>
      </c>
      <c r="I116" s="253">
        <f aca="true" t="shared" si="113" ref="I116:I147">$J$3</f>
        <v>1491.39</v>
      </c>
      <c r="J116" s="56">
        <f t="shared" si="83"/>
        <v>162561.51</v>
      </c>
      <c r="K116" s="57">
        <f t="shared" si="65"/>
        <v>157669.59</v>
      </c>
      <c r="L116" s="58">
        <f t="shared" si="106"/>
        <v>4891.920000000013</v>
      </c>
      <c r="M116" s="55">
        <f t="shared" si="71"/>
        <v>220.01978732212802</v>
      </c>
      <c r="N116" s="29">
        <f t="shared" si="107"/>
        <v>5111.939787322141</v>
      </c>
      <c r="O116" s="16">
        <f t="shared" si="89"/>
        <v>40</v>
      </c>
      <c r="P116" s="16">
        <f t="shared" si="90"/>
        <v>91</v>
      </c>
      <c r="Q116" s="16">
        <f t="shared" si="91"/>
        <v>92</v>
      </c>
      <c r="R116" s="16">
        <f t="shared" si="100"/>
        <v>92</v>
      </c>
      <c r="S116" s="16">
        <f t="shared" si="101"/>
        <v>90</v>
      </c>
      <c r="T116" s="16">
        <f t="shared" si="101"/>
        <v>91</v>
      </c>
      <c r="U116" s="16">
        <f t="shared" si="101"/>
        <v>0</v>
      </c>
      <c r="V116" s="111">
        <f>IF(W$8&lt;V$8,0,IF($D116&lt;V$8,V$12,IF($D116&lt;W$8,W$8-$D116,0)))</f>
        <v>0</v>
      </c>
      <c r="W116" s="146">
        <f>$L116*O$11*O116</f>
        <v>17.423276712328814</v>
      </c>
      <c r="X116" s="63">
        <f>($L116+SUM($W116:W116))*(P$11*P116)</f>
        <v>39.7791307969226</v>
      </c>
      <c r="Y116" s="63">
        <f>($L116+SUM($W116:X116))*(Q$11*Q116)</f>
        <v>40.542126023158076</v>
      </c>
      <c r="Z116" s="63">
        <f>($L116+SUM($W116:Y116))*(R$11*R116)</f>
        <v>40.874238233594355</v>
      </c>
      <c r="AA116" s="63">
        <f>($L116+SUM($W116:Z116))*(S$11*S116)</f>
        <v>40.31322166415232</v>
      </c>
      <c r="AB116" s="63">
        <f>($L116+SUM($W116:AA116))*(T$11*T116)</f>
        <v>41.087793891971856</v>
      </c>
      <c r="AC116" s="63">
        <f>($L116+SUM($W116:AB116))*(U$11*U116)</f>
        <v>0</v>
      </c>
      <c r="AD116" s="63">
        <f>($L116+SUM($W116:AC116))*(V$11*V116)</f>
        <v>0</v>
      </c>
      <c r="AE116" s="115">
        <f aca="true" t="shared" si="114" ref="AE116:AE121">SUM(W116:AD116)</f>
        <v>220.01978732212802</v>
      </c>
    </row>
    <row r="117" spans="1:31" ht="12.75">
      <c r="A117" s="3">
        <v>2</v>
      </c>
      <c r="B117" s="15">
        <f t="shared" si="82"/>
        <v>41306</v>
      </c>
      <c r="C117" s="249">
        <f t="shared" si="111"/>
        <v>41338</v>
      </c>
      <c r="D117" s="249">
        <f t="shared" si="111"/>
        <v>41353</v>
      </c>
      <c r="E117" s="71" t="s">
        <v>139</v>
      </c>
      <c r="F117" s="3">
        <v>9</v>
      </c>
      <c r="G117" s="73">
        <v>74</v>
      </c>
      <c r="H117" s="253">
        <f t="shared" si="112"/>
        <v>1446.51</v>
      </c>
      <c r="I117" s="253">
        <f t="shared" si="113"/>
        <v>1491.39</v>
      </c>
      <c r="J117" s="56">
        <f t="shared" si="83"/>
        <v>110362.86</v>
      </c>
      <c r="K117" s="57">
        <f t="shared" si="65"/>
        <v>107041.74</v>
      </c>
      <c r="L117" s="58">
        <f t="shared" si="106"/>
        <v>3321.1199999999953</v>
      </c>
      <c r="M117" s="55">
        <f t="shared" si="71"/>
        <v>140.74948177116494</v>
      </c>
      <c r="N117" s="29">
        <f t="shared" si="107"/>
        <v>3461.8694817711603</v>
      </c>
      <c r="O117" s="16">
        <f t="shared" si="89"/>
        <v>12</v>
      </c>
      <c r="P117" s="16">
        <f t="shared" si="90"/>
        <v>91</v>
      </c>
      <c r="Q117" s="16">
        <f t="shared" si="91"/>
        <v>92</v>
      </c>
      <c r="R117" s="16">
        <f t="shared" si="100"/>
        <v>92</v>
      </c>
      <c r="S117" s="16">
        <f t="shared" si="101"/>
        <v>90</v>
      </c>
      <c r="T117" s="16">
        <f t="shared" si="101"/>
        <v>91</v>
      </c>
      <c r="U117" s="16">
        <f t="shared" si="101"/>
        <v>0</v>
      </c>
      <c r="V117" s="111">
        <f aca="true" t="shared" si="115" ref="V117:V127">IF(W$8&lt;V$8,0,IF($D117&lt;V$8,V$12,IF($D117&lt;W$8,W$8-$D117,0)))</f>
        <v>0</v>
      </c>
      <c r="W117" s="146">
        <f aca="true" t="shared" si="116" ref="W117:W127">$L117*O$11*O117</f>
        <v>3.5485939726027347</v>
      </c>
      <c r="X117" s="63">
        <f>($L117+SUM($W117:W117))*(P$11*P117)</f>
        <v>26.938924292257422</v>
      </c>
      <c r="Y117" s="63">
        <f>($L117+SUM($W117:X117))*(Q$11*Q117)</f>
        <v>27.455634190717582</v>
      </c>
      <c r="Z117" s="63">
        <f>($L117+SUM($W117:Y117))*(R$11*R117)</f>
        <v>27.68054472833469</v>
      </c>
      <c r="AA117" s="63">
        <f>($L117+SUM($W117:Z117))*(S$11*S117)</f>
        <v>27.300617299350492</v>
      </c>
      <c r="AB117" s="63">
        <f>($L117+SUM($W117:AA117))*(T$11*T117)</f>
        <v>27.82516728790202</v>
      </c>
      <c r="AC117" s="63">
        <f>($L117+SUM($W117:AB117))*(U$11*U117)</f>
        <v>0</v>
      </c>
      <c r="AD117" s="63">
        <f>($L117+SUM($W117:AC117))*(V$11*V117)</f>
        <v>0</v>
      </c>
      <c r="AE117" s="115">
        <f t="shared" si="114"/>
        <v>140.74948177116494</v>
      </c>
    </row>
    <row r="118" spans="1:31" ht="12.75">
      <c r="A118" s="3">
        <v>3</v>
      </c>
      <c r="B118" s="15">
        <f t="shared" si="82"/>
        <v>41334</v>
      </c>
      <c r="C118" s="249">
        <f t="shared" si="111"/>
        <v>41367</v>
      </c>
      <c r="D118" s="249">
        <f t="shared" si="111"/>
        <v>41382</v>
      </c>
      <c r="E118" s="71" t="s">
        <v>139</v>
      </c>
      <c r="F118" s="3">
        <v>9</v>
      </c>
      <c r="G118" s="73">
        <v>96</v>
      </c>
      <c r="H118" s="253">
        <f t="shared" si="112"/>
        <v>1446.51</v>
      </c>
      <c r="I118" s="253">
        <f t="shared" si="113"/>
        <v>1491.39</v>
      </c>
      <c r="J118" s="56">
        <f t="shared" si="83"/>
        <v>143173.44</v>
      </c>
      <c r="K118" s="57">
        <f t="shared" si="65"/>
        <v>138864.96</v>
      </c>
      <c r="L118" s="58">
        <f>+J118-K118</f>
        <v>4308.4800000000105</v>
      </c>
      <c r="M118" s="55">
        <f t="shared" si="71"/>
        <v>171.06406845634191</v>
      </c>
      <c r="N118" s="29">
        <f>SUM(L118:M118)</f>
        <v>4479.544068456353</v>
      </c>
      <c r="O118" s="16">
        <f t="shared" si="89"/>
        <v>0</v>
      </c>
      <c r="P118" s="16">
        <f t="shared" si="90"/>
        <v>74</v>
      </c>
      <c r="Q118" s="16">
        <f t="shared" si="91"/>
        <v>92</v>
      </c>
      <c r="R118" s="16">
        <f t="shared" si="100"/>
        <v>92</v>
      </c>
      <c r="S118" s="16">
        <f t="shared" si="101"/>
        <v>90</v>
      </c>
      <c r="T118" s="16">
        <f t="shared" si="101"/>
        <v>91</v>
      </c>
      <c r="U118" s="16">
        <f t="shared" si="101"/>
        <v>0</v>
      </c>
      <c r="V118" s="111">
        <f t="shared" si="115"/>
        <v>0</v>
      </c>
      <c r="W118" s="146">
        <f t="shared" si="116"/>
        <v>0</v>
      </c>
      <c r="X118" s="63">
        <f>($L118+SUM($W118:W118))*(P$11*P118)</f>
        <v>28.388751780821984</v>
      </c>
      <c r="Y118" s="63">
        <f>($L118+SUM($W118:X118))*(Q$11*Q118)</f>
        <v>35.52667826801284</v>
      </c>
      <c r="Z118" s="63">
        <f>($L118+SUM($W118:Y118))*(R$11*R118)</f>
        <v>35.81770502971519</v>
      </c>
      <c r="AA118" s="63">
        <f>($L118+SUM($W118:Z118))*(S$11*S118)</f>
        <v>35.32609156193092</v>
      </c>
      <c r="AB118" s="63">
        <f>($L118+SUM($W118:AA118))*(T$11*T118)</f>
        <v>36.00484181586097</v>
      </c>
      <c r="AC118" s="63">
        <f>($L118+SUM($W118:AB118))*(U$11*U118)</f>
        <v>0</v>
      </c>
      <c r="AD118" s="63">
        <f>($L118+SUM($W118:AC118))*(V$11*V118)</f>
        <v>0</v>
      </c>
      <c r="AE118" s="115">
        <f t="shared" si="114"/>
        <v>171.06406845634191</v>
      </c>
    </row>
    <row r="119" spans="1:31" ht="12.75">
      <c r="A119" s="16">
        <v>4</v>
      </c>
      <c r="B119" s="15">
        <f t="shared" si="82"/>
        <v>41365</v>
      </c>
      <c r="C119" s="249">
        <f t="shared" si="111"/>
        <v>41397</v>
      </c>
      <c r="D119" s="249">
        <f t="shared" si="111"/>
        <v>41414</v>
      </c>
      <c r="E119" s="30" t="s">
        <v>139</v>
      </c>
      <c r="F119" s="3">
        <v>9</v>
      </c>
      <c r="G119" s="73">
        <v>68</v>
      </c>
      <c r="H119" s="253">
        <f t="shared" si="112"/>
        <v>1446.51</v>
      </c>
      <c r="I119" s="253">
        <f t="shared" si="113"/>
        <v>1491.39</v>
      </c>
      <c r="J119" s="56">
        <f t="shared" si="83"/>
        <v>101414.52</v>
      </c>
      <c r="K119" s="57">
        <f t="shared" si="65"/>
        <v>98362.68</v>
      </c>
      <c r="L119" s="58">
        <f aca="true" t="shared" si="117" ref="L119:L129">+J119-K119</f>
        <v>3051.840000000011</v>
      </c>
      <c r="M119" s="55">
        <f t="shared" si="71"/>
        <v>112.18865648717946</v>
      </c>
      <c r="N119" s="29">
        <f aca="true" t="shared" si="118" ref="N119:N129">SUM(L119:M119)</f>
        <v>3164.0286564871903</v>
      </c>
      <c r="O119" s="16">
        <f t="shared" si="89"/>
        <v>0</v>
      </c>
      <c r="P119" s="16">
        <f t="shared" si="90"/>
        <v>42</v>
      </c>
      <c r="Q119" s="16">
        <f t="shared" si="91"/>
        <v>92</v>
      </c>
      <c r="R119" s="16">
        <f t="shared" si="100"/>
        <v>92</v>
      </c>
      <c r="S119" s="16">
        <f t="shared" si="101"/>
        <v>90</v>
      </c>
      <c r="T119" s="16">
        <f t="shared" si="101"/>
        <v>91</v>
      </c>
      <c r="U119" s="16">
        <f t="shared" si="101"/>
        <v>0</v>
      </c>
      <c r="V119" s="111">
        <f t="shared" si="115"/>
        <v>0</v>
      </c>
      <c r="W119" s="146">
        <f t="shared" si="116"/>
        <v>0</v>
      </c>
      <c r="X119" s="63">
        <f>($L119+SUM($W119:W119))*(P$11*P119)</f>
        <v>11.413045479452096</v>
      </c>
      <c r="Y119" s="63">
        <f>($L119+SUM($W119:X119))*(Q$11*Q119)</f>
        <v>25.093497550639984</v>
      </c>
      <c r="Z119" s="63">
        <f>($L119+SUM($W119:Y119))*(R$11*R119)</f>
        <v>25.299057982630156</v>
      </c>
      <c r="AA119" s="63">
        <f>($L119+SUM($W119:Z119))*(S$11*S119)</f>
        <v>24.95181748756779</v>
      </c>
      <c r="AB119" s="63">
        <f>($L119+SUM($W119:AA119))*(T$11*T119)</f>
        <v>25.431237986889425</v>
      </c>
      <c r="AC119" s="63">
        <f>($L119+SUM($W119:AB119))*(U$11*U119)</f>
        <v>0</v>
      </c>
      <c r="AD119" s="63">
        <f>($L119+SUM($W119:AC119))*(V$11*V119)</f>
        <v>0</v>
      </c>
      <c r="AE119" s="115">
        <f t="shared" si="114"/>
        <v>112.18865648717946</v>
      </c>
    </row>
    <row r="120" spans="1:31" ht="12.75">
      <c r="A120" s="3">
        <v>5</v>
      </c>
      <c r="B120" s="15">
        <f t="shared" si="82"/>
        <v>41395</v>
      </c>
      <c r="C120" s="249">
        <f t="shared" si="111"/>
        <v>41430</v>
      </c>
      <c r="D120" s="249">
        <f t="shared" si="111"/>
        <v>41445</v>
      </c>
      <c r="E120" s="30" t="s">
        <v>139</v>
      </c>
      <c r="F120" s="3">
        <v>9</v>
      </c>
      <c r="G120" s="73">
        <v>89</v>
      </c>
      <c r="H120" s="253">
        <f t="shared" si="112"/>
        <v>1446.51</v>
      </c>
      <c r="I120" s="253">
        <f t="shared" si="113"/>
        <v>1491.39</v>
      </c>
      <c r="J120" s="56">
        <f t="shared" si="83"/>
        <v>132733.71000000002</v>
      </c>
      <c r="K120" s="57">
        <f t="shared" si="65"/>
        <v>128739.39</v>
      </c>
      <c r="L120" s="58">
        <f t="shared" si="117"/>
        <v>3994.3200000000215</v>
      </c>
      <c r="M120" s="55">
        <f t="shared" si="71"/>
        <v>135.44701905941642</v>
      </c>
      <c r="N120" s="29">
        <f t="shared" si="118"/>
        <v>4129.767019059438</v>
      </c>
      <c r="O120" s="16">
        <f aca="true" t="shared" si="119" ref="O120:U120">IF($D120&lt;O$8,O$12,IF($D120&lt;P$8,P$8-$D120,0))</f>
        <v>0</v>
      </c>
      <c r="P120" s="16">
        <f t="shared" si="119"/>
        <v>11</v>
      </c>
      <c r="Q120" s="16">
        <f t="shared" si="119"/>
        <v>92</v>
      </c>
      <c r="R120" s="16">
        <f t="shared" si="119"/>
        <v>92</v>
      </c>
      <c r="S120" s="16">
        <f t="shared" si="119"/>
        <v>90</v>
      </c>
      <c r="T120" s="16">
        <f t="shared" si="119"/>
        <v>91</v>
      </c>
      <c r="U120" s="16">
        <f t="shared" si="119"/>
        <v>0</v>
      </c>
      <c r="V120" s="111">
        <f>IF(W$8&lt;V$8,0,IF($D120&lt;V$8,V$12,IF($D120&lt;W$8,W$8-$D120,0)))</f>
        <v>0</v>
      </c>
      <c r="W120" s="146">
        <f>$L120*O$11*O120</f>
        <v>0</v>
      </c>
      <c r="X120" s="63">
        <f>($L120+SUM($W120:W120))*(P$11*P120)</f>
        <v>3.91224493150687</v>
      </c>
      <c r="Y120" s="63">
        <f>($L120+SUM($W120:X120))*(Q$11*Q120)</f>
        <v>32.75264222560347</v>
      </c>
      <c r="Z120" s="63">
        <f>($L120+SUM($W120:Y120))*(R$11*R120)</f>
        <v>33.020944692054314</v>
      </c>
      <c r="AA120" s="63">
        <f>($L120+SUM($W120:Z120))*(S$11*S120)</f>
        <v>32.56771796755854</v>
      </c>
      <c r="AB120" s="63">
        <f>($L120+SUM($W120:AA120))*(T$11*T120)</f>
        <v>33.19346924269322</v>
      </c>
      <c r="AC120" s="63">
        <f>($L120+SUM($W120:AB120))*(U$11*U120)</f>
        <v>0</v>
      </c>
      <c r="AD120" s="63">
        <f>($L120+SUM($W120:AC120))*(V$11*V120)</f>
        <v>0</v>
      </c>
      <c r="AE120" s="115">
        <f t="shared" si="114"/>
        <v>135.44701905941642</v>
      </c>
    </row>
    <row r="121" spans="1:31" ht="12.75">
      <c r="A121" s="3">
        <v>6</v>
      </c>
      <c r="B121" s="15">
        <f t="shared" si="82"/>
        <v>41426</v>
      </c>
      <c r="C121" s="249">
        <f t="shared" si="111"/>
        <v>41460</v>
      </c>
      <c r="D121" s="249">
        <f t="shared" si="111"/>
        <v>41477</v>
      </c>
      <c r="E121" s="30" t="s">
        <v>139</v>
      </c>
      <c r="F121" s="3">
        <v>9</v>
      </c>
      <c r="G121" s="73">
        <v>106</v>
      </c>
      <c r="H121" s="253">
        <f t="shared" si="112"/>
        <v>1446.51</v>
      </c>
      <c r="I121" s="253">
        <f t="shared" si="113"/>
        <v>1491.39</v>
      </c>
      <c r="J121" s="56">
        <f t="shared" si="83"/>
        <v>158087.34</v>
      </c>
      <c r="K121" s="57">
        <f t="shared" si="65"/>
        <v>153330.06</v>
      </c>
      <c r="L121" s="79">
        <f t="shared" si="117"/>
        <v>4757.279999999999</v>
      </c>
      <c r="M121" s="80">
        <f t="shared" si="71"/>
        <v>147.39265218499494</v>
      </c>
      <c r="N121" s="78">
        <f t="shared" si="118"/>
        <v>4904.672652184994</v>
      </c>
      <c r="O121" s="16">
        <f t="shared" si="89"/>
        <v>0</v>
      </c>
      <c r="P121" s="16">
        <f t="shared" si="90"/>
        <v>0</v>
      </c>
      <c r="Q121" s="16">
        <f t="shared" si="91"/>
        <v>71</v>
      </c>
      <c r="R121" s="16">
        <f t="shared" si="100"/>
        <v>92</v>
      </c>
      <c r="S121" s="16">
        <f t="shared" si="101"/>
        <v>90</v>
      </c>
      <c r="T121" s="16">
        <f t="shared" si="101"/>
        <v>91</v>
      </c>
      <c r="U121" s="16">
        <f t="shared" si="101"/>
        <v>0</v>
      </c>
      <c r="V121" s="111">
        <f t="shared" si="115"/>
        <v>0</v>
      </c>
      <c r="W121" s="146">
        <f t="shared" si="116"/>
        <v>0</v>
      </c>
      <c r="X121" s="63">
        <f>($L121+SUM($W121:W121))*(P$11*P121)</f>
        <v>0</v>
      </c>
      <c r="Y121" s="63">
        <f>($L121+SUM($W121:X121))*(Q$11*Q121)</f>
        <v>30.075133150684923</v>
      </c>
      <c r="Z121" s="63">
        <f>($L121+SUM($W121:Y121))*(R$11*R121)</f>
        <v>39.216963967453545</v>
      </c>
      <c r="AA121" s="63">
        <f>($L121+SUM($W121:Z121))*(S$11*S121)</f>
        <v>38.678694202933016</v>
      </c>
      <c r="AB121" s="63">
        <f>($L121+SUM($W121:AA121))*(T$11*T121)</f>
        <v>39.42186086392346</v>
      </c>
      <c r="AC121" s="63">
        <f>($L121+SUM($W121:AB121))*(U$11*U121)</f>
        <v>0</v>
      </c>
      <c r="AD121" s="63">
        <f>($L121+SUM($W121:AC121))*(V$11*V121)</f>
        <v>0</v>
      </c>
      <c r="AE121" s="115">
        <f t="shared" si="114"/>
        <v>147.39265218499494</v>
      </c>
    </row>
    <row r="122" spans="1:31" ht="12.75">
      <c r="A122" s="16">
        <v>7</v>
      </c>
      <c r="B122" s="15">
        <f t="shared" si="82"/>
        <v>41456</v>
      </c>
      <c r="C122" s="249">
        <f t="shared" si="111"/>
        <v>41491</v>
      </c>
      <c r="D122" s="249">
        <f t="shared" si="111"/>
        <v>41506</v>
      </c>
      <c r="E122" s="30" t="s">
        <v>139</v>
      </c>
      <c r="F122" s="3">
        <v>9</v>
      </c>
      <c r="G122" s="73">
        <v>109</v>
      </c>
      <c r="H122" s="253">
        <f aca="true" t="shared" si="120" ref="H122:H127">$K$8</f>
        <v>1586.22</v>
      </c>
      <c r="I122" s="253">
        <f t="shared" si="113"/>
        <v>1491.39</v>
      </c>
      <c r="J122" s="56">
        <f t="shared" si="83"/>
        <v>162561.51</v>
      </c>
      <c r="K122" s="76">
        <f t="shared" si="65"/>
        <v>172897.98</v>
      </c>
      <c r="L122" s="79">
        <f t="shared" si="117"/>
        <v>-10336.470000000001</v>
      </c>
      <c r="M122" s="77">
        <f t="shared" si="71"/>
        <v>-292.9053462401391</v>
      </c>
      <c r="N122" s="78">
        <f t="shared" si="118"/>
        <v>-10629.37534624014</v>
      </c>
      <c r="O122" s="16">
        <f t="shared" si="89"/>
        <v>0</v>
      </c>
      <c r="P122" s="16">
        <f t="shared" si="90"/>
        <v>0</v>
      </c>
      <c r="Q122" s="16">
        <f t="shared" si="91"/>
        <v>42</v>
      </c>
      <c r="R122" s="16">
        <f t="shared" si="100"/>
        <v>92</v>
      </c>
      <c r="S122" s="16">
        <f t="shared" si="101"/>
        <v>90</v>
      </c>
      <c r="T122" s="16">
        <f t="shared" si="101"/>
        <v>91</v>
      </c>
      <c r="U122" s="16">
        <f t="shared" si="101"/>
        <v>0</v>
      </c>
      <c r="V122" s="111">
        <f t="shared" si="115"/>
        <v>0</v>
      </c>
      <c r="W122" s="146">
        <f t="shared" si="116"/>
        <v>0</v>
      </c>
      <c r="X122" s="63">
        <f>($L122+SUM($W122:W122))*(P$11*P122)</f>
        <v>0</v>
      </c>
      <c r="Y122" s="63">
        <f>($L122+SUM($W122:X122))*(Q$11*Q122)</f>
        <v>-38.65556589041096</v>
      </c>
      <c r="Z122" s="63">
        <f>($L122+SUM($W122:Y122))*(R$11*R122)</f>
        <v>-84.99075463565022</v>
      </c>
      <c r="AA122" s="63">
        <f>($L122+SUM($W122:Z122))*(S$11*S122)</f>
        <v>-83.82421982887323</v>
      </c>
      <c r="AB122" s="63">
        <f>($L122+SUM($W122:AA122))*(T$11*T122)</f>
        <v>-85.43480588520471</v>
      </c>
      <c r="AC122" s="63">
        <f>($L122+SUM($W122:AB122))*(U$11*U122)</f>
        <v>0</v>
      </c>
      <c r="AD122" s="63">
        <f>($L122+SUM($W122:AC122))*(V$11*V122)</f>
        <v>0</v>
      </c>
      <c r="AE122" s="115">
        <f aca="true" t="shared" si="121" ref="AE122:AE127">SUM(W122:AD122)</f>
        <v>-292.9053462401391</v>
      </c>
    </row>
    <row r="123" spans="1:31" ht="12.75">
      <c r="A123" s="3">
        <v>8</v>
      </c>
      <c r="B123" s="15">
        <f t="shared" si="82"/>
        <v>41487</v>
      </c>
      <c r="C123" s="249">
        <f t="shared" si="111"/>
        <v>41522</v>
      </c>
      <c r="D123" s="249">
        <f t="shared" si="111"/>
        <v>41537</v>
      </c>
      <c r="E123" s="30" t="s">
        <v>139</v>
      </c>
      <c r="F123" s="3">
        <v>9</v>
      </c>
      <c r="G123" s="73">
        <v>115</v>
      </c>
      <c r="H123" s="253">
        <f t="shared" si="120"/>
        <v>1586.22</v>
      </c>
      <c r="I123" s="253">
        <f t="shared" si="113"/>
        <v>1491.39</v>
      </c>
      <c r="J123" s="56">
        <f t="shared" si="83"/>
        <v>171509.85</v>
      </c>
      <c r="K123" s="76">
        <f t="shared" si="65"/>
        <v>182415.30000000002</v>
      </c>
      <c r="L123" s="79">
        <f t="shared" si="117"/>
        <v>-10905.450000000012</v>
      </c>
      <c r="M123" s="77">
        <f t="shared" si="71"/>
        <v>-278.1888750115259</v>
      </c>
      <c r="N123" s="78">
        <f t="shared" si="118"/>
        <v>-11183.638875011538</v>
      </c>
      <c r="O123" s="16">
        <f t="shared" si="89"/>
        <v>0</v>
      </c>
      <c r="P123" s="16">
        <f t="shared" si="90"/>
        <v>0</v>
      </c>
      <c r="Q123" s="16">
        <f t="shared" si="91"/>
        <v>11</v>
      </c>
      <c r="R123" s="16">
        <f t="shared" si="100"/>
        <v>92</v>
      </c>
      <c r="S123" s="16">
        <f t="shared" si="101"/>
        <v>90</v>
      </c>
      <c r="T123" s="16">
        <f t="shared" si="101"/>
        <v>91</v>
      </c>
      <c r="U123" s="16">
        <f t="shared" si="101"/>
        <v>0</v>
      </c>
      <c r="V123" s="111">
        <f t="shared" si="115"/>
        <v>0</v>
      </c>
      <c r="W123" s="146">
        <f t="shared" si="116"/>
        <v>0</v>
      </c>
      <c r="X123" s="63">
        <f>($L123+SUM($W123:W123))*(P$11*P123)</f>
        <v>0</v>
      </c>
      <c r="Y123" s="63">
        <f>($L123+SUM($W123:X123))*(Q$11*Q123)</f>
        <v>-10.681365410958914</v>
      </c>
      <c r="Z123" s="63">
        <f>($L123+SUM($W123:Y123))*(R$11*R123)</f>
        <v>-89.42255556870904</v>
      </c>
      <c r="AA123" s="63">
        <f>($L123+SUM($W123:Z123))*(S$11*S123)</f>
        <v>-88.19519238045359</v>
      </c>
      <c r="AB123" s="63">
        <f>($L123+SUM($W123:AA123))*(T$11*T123)</f>
        <v>-89.88976165140436</v>
      </c>
      <c r="AC123" s="63">
        <f>($L123+SUM($W123:AB123))*(U$11*U123)</f>
        <v>0</v>
      </c>
      <c r="AD123" s="63">
        <f>($L123+SUM($W123:AC123))*(V$11*V123)</f>
        <v>0</v>
      </c>
      <c r="AE123" s="115">
        <f t="shared" si="121"/>
        <v>-278.1888750115259</v>
      </c>
    </row>
    <row r="124" spans="1:31" ht="12.75">
      <c r="A124" s="3">
        <v>9</v>
      </c>
      <c r="B124" s="15">
        <f t="shared" si="82"/>
        <v>41518</v>
      </c>
      <c r="C124" s="249">
        <f t="shared" si="111"/>
        <v>41550</v>
      </c>
      <c r="D124" s="249">
        <f t="shared" si="111"/>
        <v>41565</v>
      </c>
      <c r="E124" s="30" t="s">
        <v>139</v>
      </c>
      <c r="F124" s="3">
        <v>9</v>
      </c>
      <c r="G124" s="73">
        <v>93</v>
      </c>
      <c r="H124" s="253">
        <f t="shared" si="120"/>
        <v>1586.22</v>
      </c>
      <c r="I124" s="253">
        <f t="shared" si="113"/>
        <v>1491.39</v>
      </c>
      <c r="J124" s="56">
        <f t="shared" si="83"/>
        <v>138699.27000000002</v>
      </c>
      <c r="K124" s="76">
        <f t="shared" si="65"/>
        <v>147518.46</v>
      </c>
      <c r="L124" s="79">
        <f t="shared" si="117"/>
        <v>-8819.189999999973</v>
      </c>
      <c r="M124" s="77">
        <f t="shared" si="71"/>
        <v>-202.5548697011243</v>
      </c>
      <c r="N124" s="78">
        <f t="shared" si="118"/>
        <v>-9021.744869701097</v>
      </c>
      <c r="O124" s="16">
        <f t="shared" si="89"/>
        <v>0</v>
      </c>
      <c r="P124" s="16">
        <f t="shared" si="90"/>
        <v>0</v>
      </c>
      <c r="Q124" s="16">
        <f t="shared" si="91"/>
        <v>0</v>
      </c>
      <c r="R124" s="16">
        <f t="shared" si="100"/>
        <v>75</v>
      </c>
      <c r="S124" s="16">
        <f t="shared" si="101"/>
        <v>90</v>
      </c>
      <c r="T124" s="16">
        <f t="shared" si="101"/>
        <v>91</v>
      </c>
      <c r="U124" s="16">
        <f t="shared" si="101"/>
        <v>0</v>
      </c>
      <c r="V124" s="111">
        <f t="shared" si="115"/>
        <v>0</v>
      </c>
      <c r="W124" s="146">
        <f t="shared" si="116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-58.89527568493133</v>
      </c>
      <c r="AA124" s="63">
        <f>($L124+SUM($W124:Z124))*(S$11*S124)</f>
        <v>-71.14629981199546</v>
      </c>
      <c r="AB124" s="63">
        <f>($L124+SUM($W124:AA124))*(T$11*T124)</f>
        <v>-72.51329420419749</v>
      </c>
      <c r="AC124" s="63">
        <f>($L124+SUM($W124:AB124))*(U$11*U124)</f>
        <v>0</v>
      </c>
      <c r="AD124" s="63">
        <f>($L124+SUM($W124:AC124))*(V$11*V124)</f>
        <v>0</v>
      </c>
      <c r="AE124" s="115">
        <f t="shared" si="121"/>
        <v>-202.5548697011243</v>
      </c>
    </row>
    <row r="125" spans="1:31" ht="12.75">
      <c r="A125" s="16">
        <v>10</v>
      </c>
      <c r="B125" s="15">
        <f t="shared" si="82"/>
        <v>41548</v>
      </c>
      <c r="C125" s="249">
        <f t="shared" si="111"/>
        <v>41583</v>
      </c>
      <c r="D125" s="249">
        <f t="shared" si="111"/>
        <v>41598</v>
      </c>
      <c r="E125" s="30" t="s">
        <v>139</v>
      </c>
      <c r="F125" s="3">
        <v>9</v>
      </c>
      <c r="G125" s="73">
        <v>83</v>
      </c>
      <c r="H125" s="253">
        <f t="shared" si="120"/>
        <v>1586.22</v>
      </c>
      <c r="I125" s="253">
        <f t="shared" si="113"/>
        <v>1491.39</v>
      </c>
      <c r="J125" s="56">
        <f t="shared" si="83"/>
        <v>123785.37000000001</v>
      </c>
      <c r="K125" s="76">
        <f t="shared" si="65"/>
        <v>131656.26</v>
      </c>
      <c r="L125" s="79">
        <f t="shared" si="117"/>
        <v>-7870.889999999999</v>
      </c>
      <c r="M125" s="77">
        <f t="shared" si="71"/>
        <v>-157.27306372368548</v>
      </c>
      <c r="N125" s="78">
        <f t="shared" si="118"/>
        <v>-8028.163063723685</v>
      </c>
      <c r="O125" s="16">
        <f t="shared" si="89"/>
        <v>0</v>
      </c>
      <c r="P125" s="16">
        <f t="shared" si="90"/>
        <v>0</v>
      </c>
      <c r="Q125" s="16">
        <f t="shared" si="91"/>
        <v>0</v>
      </c>
      <c r="R125" s="16">
        <f t="shared" si="100"/>
        <v>42</v>
      </c>
      <c r="S125" s="16">
        <f t="shared" si="101"/>
        <v>90</v>
      </c>
      <c r="T125" s="16">
        <f t="shared" si="101"/>
        <v>91</v>
      </c>
      <c r="U125" s="16">
        <f t="shared" si="101"/>
        <v>0</v>
      </c>
      <c r="V125" s="111">
        <f t="shared" si="115"/>
        <v>0</v>
      </c>
      <c r="W125" s="146">
        <f t="shared" si="116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-29.43497219178082</v>
      </c>
      <c r="AA125" s="63">
        <f>($L125+SUM($W125:Z125))*(S$11*S125)</f>
        <v>-63.310823407290286</v>
      </c>
      <c r="AB125" s="63">
        <f>($L125+SUM($W125:AA125))*(T$11*T125)</f>
        <v>-64.5272681246144</v>
      </c>
      <c r="AC125" s="63">
        <f>($L125+SUM($W125:AB125))*(U$11*U125)</f>
        <v>0</v>
      </c>
      <c r="AD125" s="63">
        <f>($L125+SUM($W125:AC125))*(V$11*V125)</f>
        <v>0</v>
      </c>
      <c r="AE125" s="115">
        <f t="shared" si="121"/>
        <v>-157.27306372368548</v>
      </c>
    </row>
    <row r="126" spans="1:31" ht="12.75">
      <c r="A126" s="3">
        <v>11</v>
      </c>
      <c r="B126" s="15">
        <f t="shared" si="82"/>
        <v>41579</v>
      </c>
      <c r="C126" s="249">
        <f t="shared" si="111"/>
        <v>41612</v>
      </c>
      <c r="D126" s="249">
        <f t="shared" si="111"/>
        <v>41627</v>
      </c>
      <c r="E126" s="30" t="s">
        <v>139</v>
      </c>
      <c r="F126" s="3">
        <v>9</v>
      </c>
      <c r="G126" s="73">
        <v>102</v>
      </c>
      <c r="H126" s="253">
        <f t="shared" si="120"/>
        <v>1586.22</v>
      </c>
      <c r="I126" s="253">
        <f t="shared" si="113"/>
        <v>1491.39</v>
      </c>
      <c r="J126" s="56">
        <f t="shared" si="83"/>
        <v>152121.78</v>
      </c>
      <c r="K126" s="76">
        <f t="shared" si="65"/>
        <v>161794.44</v>
      </c>
      <c r="L126" s="79">
        <f t="shared" si="117"/>
        <v>-9672.660000000003</v>
      </c>
      <c r="M126" s="77">
        <f t="shared" si="71"/>
        <v>-167.8945115128614</v>
      </c>
      <c r="N126" s="78">
        <f t="shared" si="118"/>
        <v>-9840.554511512864</v>
      </c>
      <c r="O126" s="16">
        <f t="shared" si="89"/>
        <v>0</v>
      </c>
      <c r="P126" s="16">
        <f t="shared" si="90"/>
        <v>0</v>
      </c>
      <c r="Q126" s="16">
        <f t="shared" si="91"/>
        <v>0</v>
      </c>
      <c r="R126" s="16">
        <f t="shared" si="100"/>
        <v>13</v>
      </c>
      <c r="S126" s="16">
        <f t="shared" si="101"/>
        <v>90</v>
      </c>
      <c r="T126" s="16">
        <f t="shared" si="101"/>
        <v>91</v>
      </c>
      <c r="U126" s="16">
        <f t="shared" si="101"/>
        <v>0</v>
      </c>
      <c r="V126" s="111">
        <f t="shared" si="115"/>
        <v>0</v>
      </c>
      <c r="W126" s="146">
        <f t="shared" si="116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-11.196435205479455</v>
      </c>
      <c r="AA126" s="63">
        <f>($L126+SUM($W126:Z126))*(S$11*S126)</f>
        <v>-77.60350704924942</v>
      </c>
      <c r="AB126" s="63">
        <f>($L126+SUM($W126:AA126))*(T$11*T126)</f>
        <v>-79.09456925813252</v>
      </c>
      <c r="AC126" s="63">
        <f>($L126+SUM($W126:AB126))*(U$11*U126)</f>
        <v>0</v>
      </c>
      <c r="AD126" s="63">
        <f>($L126+SUM($W126:AC126))*(V$11*V126)</f>
        <v>0</v>
      </c>
      <c r="AE126" s="115">
        <f t="shared" si="121"/>
        <v>-167.8945115128614</v>
      </c>
    </row>
    <row r="127" spans="1:31" s="70" customFormat="1" ht="12.75">
      <c r="A127" s="3">
        <v>12</v>
      </c>
      <c r="B127" s="87">
        <f t="shared" si="82"/>
        <v>41609</v>
      </c>
      <c r="C127" s="249">
        <f t="shared" si="111"/>
        <v>41280</v>
      </c>
      <c r="D127" s="249">
        <f t="shared" si="111"/>
        <v>41295</v>
      </c>
      <c r="E127" s="88" t="s">
        <v>139</v>
      </c>
      <c r="F127" s="84">
        <v>9</v>
      </c>
      <c r="G127" s="89">
        <v>105</v>
      </c>
      <c r="H127" s="254">
        <f t="shared" si="120"/>
        <v>1586.22</v>
      </c>
      <c r="I127" s="254">
        <f t="shared" si="113"/>
        <v>1491.39</v>
      </c>
      <c r="J127" s="90">
        <f t="shared" si="83"/>
        <v>156595.95</v>
      </c>
      <c r="K127" s="91">
        <f t="shared" si="65"/>
        <v>166553.1</v>
      </c>
      <c r="L127" s="92">
        <f t="shared" si="117"/>
        <v>-9957.149999999994</v>
      </c>
      <c r="M127" s="93">
        <f t="shared" si="71"/>
        <v>-475.5298882171476</v>
      </c>
      <c r="N127" s="94">
        <f t="shared" si="118"/>
        <v>-10432.679888217142</v>
      </c>
      <c r="O127" s="84">
        <f t="shared" si="89"/>
        <v>70</v>
      </c>
      <c r="P127" s="84">
        <f t="shared" si="90"/>
        <v>91</v>
      </c>
      <c r="Q127" s="84">
        <f t="shared" si="91"/>
        <v>92</v>
      </c>
      <c r="R127" s="84">
        <f t="shared" si="100"/>
        <v>92</v>
      </c>
      <c r="S127" s="84">
        <f t="shared" si="101"/>
        <v>90</v>
      </c>
      <c r="T127" s="84">
        <f t="shared" si="101"/>
        <v>91</v>
      </c>
      <c r="U127" s="84">
        <f t="shared" si="101"/>
        <v>0</v>
      </c>
      <c r="V127" s="112">
        <f t="shared" si="115"/>
        <v>0</v>
      </c>
      <c r="W127" s="147">
        <f t="shared" si="116"/>
        <v>-62.061688356164346</v>
      </c>
      <c r="X127" s="95">
        <f>($L127+SUM($W127:W127))*(P$11*P127)</f>
        <v>-81.18306457072148</v>
      </c>
      <c r="Y127" s="95">
        <f>($L127+SUM($W127:X127))*(Q$11*Q127)</f>
        <v>-82.74022003082567</v>
      </c>
      <c r="Z127" s="95">
        <f>($L127+SUM($W127:Y127))*(R$11*R127)</f>
        <v>-83.41800977847544</v>
      </c>
      <c r="AA127" s="95">
        <f>($L127+SUM($W127:Z127))*(S$11*S127)</f>
        <v>-82.27306157398172</v>
      </c>
      <c r="AB127" s="95">
        <f>($L127+SUM($W127:AA127))*(T$11*T127)</f>
        <v>-83.85384390697892</v>
      </c>
      <c r="AC127" s="95">
        <f>($L127+SUM($W127:AB127))*(U$11*U127)</f>
        <v>0</v>
      </c>
      <c r="AD127" s="95">
        <f>($L127+SUM($W127:AC127))*(V$11*V127)</f>
        <v>0</v>
      </c>
      <c r="AE127" s="116">
        <f t="shared" si="121"/>
        <v>-475.5298882171476</v>
      </c>
    </row>
    <row r="128" spans="1:31" ht="12.75">
      <c r="A128" s="16">
        <v>1</v>
      </c>
      <c r="B128" s="15">
        <f t="shared" si="82"/>
        <v>41275</v>
      </c>
      <c r="C128" s="248">
        <f t="shared" si="111"/>
        <v>41310</v>
      </c>
      <c r="D128" s="248">
        <f t="shared" si="111"/>
        <v>41325</v>
      </c>
      <c r="E128" s="123" t="s">
        <v>140</v>
      </c>
      <c r="F128" s="16">
        <v>9</v>
      </c>
      <c r="G128" s="73">
        <v>7</v>
      </c>
      <c r="H128" s="253">
        <f aca="true" t="shared" si="122" ref="H128:H133">$K$3</f>
        <v>1446.51</v>
      </c>
      <c r="I128" s="253">
        <f t="shared" si="113"/>
        <v>1491.39</v>
      </c>
      <c r="J128" s="56">
        <f t="shared" si="83"/>
        <v>10439.730000000001</v>
      </c>
      <c r="K128" s="57">
        <f t="shared" si="65"/>
        <v>10125.57</v>
      </c>
      <c r="L128" s="58">
        <f t="shared" si="117"/>
        <v>314.1600000000017</v>
      </c>
      <c r="M128" s="55">
        <f t="shared" si="71"/>
        <v>14.129711112430279</v>
      </c>
      <c r="N128" s="29">
        <f t="shared" si="118"/>
        <v>328.289711112432</v>
      </c>
      <c r="O128" s="16">
        <f aca="true" t="shared" si="123" ref="O128:Q139">IF($D128&lt;O$8,O$12,IF($D128&lt;P$8,P$8-$D128,0))</f>
        <v>40</v>
      </c>
      <c r="P128" s="16">
        <f t="shared" si="123"/>
        <v>91</v>
      </c>
      <c r="Q128" s="16">
        <f t="shared" si="123"/>
        <v>92</v>
      </c>
      <c r="R128" s="16">
        <f t="shared" si="100"/>
        <v>92</v>
      </c>
      <c r="S128" s="16">
        <f t="shared" si="101"/>
        <v>90</v>
      </c>
      <c r="T128" s="16">
        <f t="shared" si="101"/>
        <v>91</v>
      </c>
      <c r="U128" s="16">
        <f t="shared" si="101"/>
        <v>0</v>
      </c>
      <c r="V128" s="111">
        <f>IF(W$8&lt;V$8,0,IF($D128&lt;V$8,V$12,IF($D128&lt;W$8,W$8-$D128,0)))</f>
        <v>0</v>
      </c>
      <c r="W128" s="146">
        <f>$L128*O$11*O128</f>
        <v>1.1189260273972663</v>
      </c>
      <c r="X128" s="63">
        <f>($L128+SUM($W128:W128))*(P$11*P128)</f>
        <v>2.5546230787014585</v>
      </c>
      <c r="Y128" s="63">
        <f>($L128+SUM($W128:X128))*(Q$11*Q128)</f>
        <v>2.603622772129425</v>
      </c>
      <c r="Z128" s="63">
        <f>($L128+SUM($W128:Y128))*(R$11*R128)</f>
        <v>2.6249510792216633</v>
      </c>
      <c r="AA128" s="63">
        <f>($L128+SUM($W128:Z128))*(S$11*S128)</f>
        <v>2.5889224921932756</v>
      </c>
      <c r="AB128" s="63">
        <f>($L128+SUM($W128:AA128))*(T$11*T128)</f>
        <v>2.63866566278719</v>
      </c>
      <c r="AC128" s="63">
        <f>($L128+SUM($W128:AB128))*(U$11*U128)</f>
        <v>0</v>
      </c>
      <c r="AD128" s="63">
        <f>($L128+SUM($W128:AC128))*(V$11*V128)</f>
        <v>0</v>
      </c>
      <c r="AE128" s="115">
        <f aca="true" t="shared" si="124" ref="AE128:AE133">SUM(W128:AD128)</f>
        <v>14.129711112430279</v>
      </c>
    </row>
    <row r="129" spans="1:31" ht="12.75">
      <c r="A129" s="3">
        <v>2</v>
      </c>
      <c r="B129" s="15">
        <f t="shared" si="82"/>
        <v>41306</v>
      </c>
      <c r="C129" s="249">
        <f t="shared" si="111"/>
        <v>41338</v>
      </c>
      <c r="D129" s="249">
        <f t="shared" si="111"/>
        <v>41353</v>
      </c>
      <c r="E129" s="71" t="s">
        <v>140</v>
      </c>
      <c r="F129" s="3">
        <v>9</v>
      </c>
      <c r="G129" s="73">
        <v>4</v>
      </c>
      <c r="H129" s="253">
        <f t="shared" si="122"/>
        <v>1446.51</v>
      </c>
      <c r="I129" s="253">
        <f t="shared" si="113"/>
        <v>1491.39</v>
      </c>
      <c r="J129" s="56">
        <f t="shared" si="83"/>
        <v>5965.56</v>
      </c>
      <c r="K129" s="57">
        <f t="shared" si="65"/>
        <v>5786.04</v>
      </c>
      <c r="L129" s="58">
        <f t="shared" si="117"/>
        <v>179.52000000000044</v>
      </c>
      <c r="M129" s="55">
        <f t="shared" si="71"/>
        <v>7.608080095738674</v>
      </c>
      <c r="N129" s="29">
        <f t="shared" si="118"/>
        <v>187.1280800957391</v>
      </c>
      <c r="O129" s="16">
        <f t="shared" si="123"/>
        <v>12</v>
      </c>
      <c r="P129" s="16">
        <f t="shared" si="123"/>
        <v>91</v>
      </c>
      <c r="Q129" s="16">
        <f t="shared" si="123"/>
        <v>92</v>
      </c>
      <c r="R129" s="16">
        <f t="shared" si="100"/>
        <v>92</v>
      </c>
      <c r="S129" s="16">
        <f t="shared" si="101"/>
        <v>90</v>
      </c>
      <c r="T129" s="16">
        <f t="shared" si="101"/>
        <v>91</v>
      </c>
      <c r="U129" s="16">
        <f t="shared" si="101"/>
        <v>0</v>
      </c>
      <c r="V129" s="111">
        <f aca="true" t="shared" si="125" ref="V129:V151">IF(W$8&lt;V$8,0,IF($D129&lt;V$8,V$12,IF($D129&lt;W$8,W$8-$D129,0)))</f>
        <v>0</v>
      </c>
      <c r="W129" s="146">
        <f aca="true" t="shared" si="126" ref="W129:W151">$L129*O$11*O129</f>
        <v>0.19181589041095937</v>
      </c>
      <c r="X129" s="63">
        <f>($L129+SUM($W129:W129))*(P$11*P129)</f>
        <v>1.4561580698517582</v>
      </c>
      <c r="Y129" s="63">
        <f>($L129+SUM($W129:X129))*(Q$11*Q129)</f>
        <v>1.4840883346333886</v>
      </c>
      <c r="Z129" s="63">
        <f>($L129+SUM($W129:Y129))*(R$11*R129)</f>
        <v>1.4962456609910701</v>
      </c>
      <c r="AA129" s="63">
        <f>($L129+SUM($W129:Z129))*(S$11*S129)</f>
        <v>1.4757090432081403</v>
      </c>
      <c r="AB129" s="63">
        <f>($L129+SUM($W129:AA129))*(T$11*T129)</f>
        <v>1.504063096643358</v>
      </c>
      <c r="AC129" s="63">
        <f>($L129+SUM($W129:AB129))*(U$11*U129)</f>
        <v>0</v>
      </c>
      <c r="AD129" s="63">
        <f>($L129+SUM($W129:AC129))*(V$11*V129)</f>
        <v>0</v>
      </c>
      <c r="AE129" s="115">
        <f t="shared" si="124"/>
        <v>7.608080095738674</v>
      </c>
    </row>
    <row r="130" spans="1:31" ht="12.75">
      <c r="A130" s="3">
        <v>3</v>
      </c>
      <c r="B130" s="15">
        <f t="shared" si="82"/>
        <v>41334</v>
      </c>
      <c r="C130" s="249">
        <f t="shared" si="111"/>
        <v>41367</v>
      </c>
      <c r="D130" s="249">
        <f t="shared" si="111"/>
        <v>41382</v>
      </c>
      <c r="E130" s="71" t="s">
        <v>140</v>
      </c>
      <c r="F130" s="3">
        <v>9</v>
      </c>
      <c r="G130" s="73">
        <v>5</v>
      </c>
      <c r="H130" s="253">
        <f t="shared" si="122"/>
        <v>1446.51</v>
      </c>
      <c r="I130" s="253">
        <f t="shared" si="113"/>
        <v>1491.39</v>
      </c>
      <c r="J130" s="56">
        <f t="shared" si="83"/>
        <v>7456.950000000001</v>
      </c>
      <c r="K130" s="57">
        <f t="shared" si="65"/>
        <v>7232.55</v>
      </c>
      <c r="L130" s="58">
        <f>+J130-K130</f>
        <v>224.40000000000055</v>
      </c>
      <c r="M130" s="55">
        <f t="shared" si="71"/>
        <v>8.909586898767808</v>
      </c>
      <c r="N130" s="29">
        <f>SUM(L130:M130)</f>
        <v>233.30958689876834</v>
      </c>
      <c r="O130" s="16">
        <f t="shared" si="123"/>
        <v>0</v>
      </c>
      <c r="P130" s="16">
        <f t="shared" si="123"/>
        <v>74</v>
      </c>
      <c r="Q130" s="16">
        <f t="shared" si="123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11">
        <f>IF(W$8&lt;V$8,0,IF($D130&lt;V$8,V$12,IF($D130&lt;W$8,W$8-$D130,0)))</f>
        <v>0</v>
      </c>
      <c r="W130" s="146">
        <f>$L130*O$11*O130</f>
        <v>0</v>
      </c>
      <c r="X130" s="63">
        <f>($L130+SUM($W130:W130))*(P$11*P130)</f>
        <v>1.4785808219178118</v>
      </c>
      <c r="Y130" s="63">
        <f>($L130+SUM($W130:X130))*(Q$11*Q130)</f>
        <v>1.850347826459002</v>
      </c>
      <c r="Z130" s="63">
        <f>($L130+SUM($W130:Y130))*(R$11*R130)</f>
        <v>1.8655054702976663</v>
      </c>
      <c r="AA130" s="63">
        <f>($L130+SUM($W130:Z130))*(S$11*S130)</f>
        <v>1.8399006021839024</v>
      </c>
      <c r="AB130" s="63">
        <f>($L130+SUM($W130:AA130))*(T$11*T130)</f>
        <v>1.8752521779094256</v>
      </c>
      <c r="AC130" s="63">
        <f>($L130+SUM($W130:AB130))*(U$11*U130)</f>
        <v>0</v>
      </c>
      <c r="AD130" s="63">
        <f>($L130+SUM($W130:AC130))*(V$11*V130)</f>
        <v>0</v>
      </c>
      <c r="AE130" s="115">
        <f t="shared" si="124"/>
        <v>8.909586898767808</v>
      </c>
    </row>
    <row r="131" spans="1:31" ht="12.75">
      <c r="A131" s="16">
        <v>4</v>
      </c>
      <c r="B131" s="15">
        <f t="shared" si="82"/>
        <v>41365</v>
      </c>
      <c r="C131" s="249">
        <f t="shared" si="111"/>
        <v>41397</v>
      </c>
      <c r="D131" s="249">
        <f t="shared" si="111"/>
        <v>41414</v>
      </c>
      <c r="E131" s="71" t="s">
        <v>140</v>
      </c>
      <c r="F131" s="3">
        <v>9</v>
      </c>
      <c r="G131" s="73">
        <v>8</v>
      </c>
      <c r="H131" s="253">
        <f t="shared" si="122"/>
        <v>1446.51</v>
      </c>
      <c r="I131" s="253">
        <f t="shared" si="113"/>
        <v>1491.39</v>
      </c>
      <c r="J131" s="56">
        <f t="shared" si="83"/>
        <v>11931.12</v>
      </c>
      <c r="K131" s="57">
        <f t="shared" si="65"/>
        <v>11572.08</v>
      </c>
      <c r="L131" s="58">
        <f aca="true" t="shared" si="127" ref="L131:L141">+J131-K131</f>
        <v>359.0400000000009</v>
      </c>
      <c r="M131" s="55">
        <f t="shared" si="71"/>
        <v>13.19866546907992</v>
      </c>
      <c r="N131" s="29">
        <f aca="true" t="shared" si="128" ref="N131:N141">SUM(L131:M131)</f>
        <v>372.2386654690808</v>
      </c>
      <c r="O131" s="16">
        <f t="shared" si="123"/>
        <v>0</v>
      </c>
      <c r="P131" s="16">
        <f t="shared" si="123"/>
        <v>42</v>
      </c>
      <c r="Q131" s="16">
        <f t="shared" si="123"/>
        <v>92</v>
      </c>
      <c r="R131" s="16">
        <f t="shared" si="100"/>
        <v>92</v>
      </c>
      <c r="S131" s="16">
        <f t="shared" si="101"/>
        <v>90</v>
      </c>
      <c r="T131" s="16">
        <f t="shared" si="101"/>
        <v>91</v>
      </c>
      <c r="U131" s="16">
        <f t="shared" si="101"/>
        <v>0</v>
      </c>
      <c r="V131" s="111">
        <f t="shared" si="125"/>
        <v>0</v>
      </c>
      <c r="W131" s="146">
        <f t="shared" si="126"/>
        <v>0</v>
      </c>
      <c r="X131" s="63">
        <f>($L131+SUM($W131:W131))*(P$11*P131)</f>
        <v>1.3427112328767157</v>
      </c>
      <c r="Y131" s="63">
        <f>($L131+SUM($W131:X131))*(Q$11*Q131)</f>
        <v>2.9521761824282295</v>
      </c>
      <c r="Z131" s="63">
        <f>($L131+SUM($W131:Y131))*(R$11*R131)</f>
        <v>2.976359762662368</v>
      </c>
      <c r="AA131" s="63">
        <f>($L131+SUM($W131:Z131))*(S$11*S131)</f>
        <v>2.9355079397138546</v>
      </c>
      <c r="AB131" s="63">
        <f>($L131+SUM($W131:AA131))*(T$11*T131)</f>
        <v>2.991910351398752</v>
      </c>
      <c r="AC131" s="63">
        <f>($L131+SUM($W131:AB131))*(U$11*U131)</f>
        <v>0</v>
      </c>
      <c r="AD131" s="63">
        <f>($L131+SUM($W131:AC131))*(V$11*V131)</f>
        <v>0</v>
      </c>
      <c r="AE131" s="115">
        <f t="shared" si="124"/>
        <v>13.19866546907992</v>
      </c>
    </row>
    <row r="132" spans="1:31" ht="12.75">
      <c r="A132" s="3">
        <v>5</v>
      </c>
      <c r="B132" s="15">
        <f t="shared" si="82"/>
        <v>41395</v>
      </c>
      <c r="C132" s="249">
        <f aca="true" t="shared" si="129" ref="C132:D151">+C120</f>
        <v>41430</v>
      </c>
      <c r="D132" s="249">
        <f t="shared" si="129"/>
        <v>41445</v>
      </c>
      <c r="E132" s="30" t="s">
        <v>140</v>
      </c>
      <c r="F132" s="3">
        <v>9</v>
      </c>
      <c r="G132" s="73">
        <v>8</v>
      </c>
      <c r="H132" s="253">
        <f t="shared" si="122"/>
        <v>1446.51</v>
      </c>
      <c r="I132" s="253">
        <f t="shared" si="113"/>
        <v>1491.39</v>
      </c>
      <c r="J132" s="56">
        <f t="shared" si="83"/>
        <v>11931.12</v>
      </c>
      <c r="K132" s="57">
        <f t="shared" si="65"/>
        <v>11572.08</v>
      </c>
      <c r="L132" s="58">
        <f t="shared" si="127"/>
        <v>359.0400000000009</v>
      </c>
      <c r="M132" s="55">
        <f t="shared" si="71"/>
        <v>12.175012949160989</v>
      </c>
      <c r="N132" s="29">
        <f t="shared" si="128"/>
        <v>371.21501294916186</v>
      </c>
      <c r="O132" s="16">
        <f t="shared" si="123"/>
        <v>0</v>
      </c>
      <c r="P132" s="16">
        <f t="shared" si="123"/>
        <v>11</v>
      </c>
      <c r="Q132" s="16">
        <f t="shared" si="123"/>
        <v>92</v>
      </c>
      <c r="R132" s="16">
        <f t="shared" si="100"/>
        <v>92</v>
      </c>
      <c r="S132" s="16">
        <f t="shared" si="101"/>
        <v>90</v>
      </c>
      <c r="T132" s="16">
        <f t="shared" si="101"/>
        <v>91</v>
      </c>
      <c r="U132" s="16">
        <f t="shared" si="101"/>
        <v>0</v>
      </c>
      <c r="V132" s="111">
        <f t="shared" si="125"/>
        <v>0</v>
      </c>
      <c r="W132" s="146">
        <f t="shared" si="126"/>
        <v>0</v>
      </c>
      <c r="X132" s="63">
        <f>($L132+SUM($W132:W132))*(P$11*P132)</f>
        <v>0.35166246575342547</v>
      </c>
      <c r="Y132" s="63">
        <f>($L132+SUM($W132:X132))*(Q$11*Q132)</f>
        <v>2.9440577281441236</v>
      </c>
      <c r="Z132" s="63">
        <f>($L132+SUM($W132:Y132))*(R$11*R132)</f>
        <v>2.968174803780154</v>
      </c>
      <c r="AA132" s="63">
        <f>($L132+SUM($W132:Z132))*(S$11*S132)</f>
        <v>2.927435322926602</v>
      </c>
      <c r="AB132" s="63">
        <f>($L132+SUM($W132:AA132))*(T$11*T132)</f>
        <v>2.9836826285566844</v>
      </c>
      <c r="AC132" s="63">
        <f>($L132+SUM($W132:AB132))*(U$11*U132)</f>
        <v>0</v>
      </c>
      <c r="AD132" s="63">
        <f>($L132+SUM($W132:AC132))*(V$11*V132)</f>
        <v>0</v>
      </c>
      <c r="AE132" s="115">
        <f t="shared" si="124"/>
        <v>12.175012949160989</v>
      </c>
    </row>
    <row r="133" spans="1:31" ht="12.75">
      <c r="A133" s="3">
        <v>6</v>
      </c>
      <c r="B133" s="15">
        <f t="shared" si="82"/>
        <v>41426</v>
      </c>
      <c r="C133" s="249">
        <f t="shared" si="129"/>
        <v>41460</v>
      </c>
      <c r="D133" s="249">
        <f t="shared" si="129"/>
        <v>41477</v>
      </c>
      <c r="E133" s="30" t="s">
        <v>140</v>
      </c>
      <c r="F133" s="3">
        <v>9</v>
      </c>
      <c r="G133" s="73">
        <v>13</v>
      </c>
      <c r="H133" s="253">
        <f t="shared" si="122"/>
        <v>1446.51</v>
      </c>
      <c r="I133" s="253">
        <f t="shared" si="113"/>
        <v>1491.39</v>
      </c>
      <c r="J133" s="56">
        <f t="shared" si="83"/>
        <v>19388.07</v>
      </c>
      <c r="K133" s="57">
        <f t="shared" si="65"/>
        <v>18804.63</v>
      </c>
      <c r="L133" s="79">
        <f t="shared" si="127"/>
        <v>583.4399999999987</v>
      </c>
      <c r="M133" s="80">
        <f t="shared" si="71"/>
        <v>18.07645734344274</v>
      </c>
      <c r="N133" s="78">
        <f t="shared" si="128"/>
        <v>601.5164573434414</v>
      </c>
      <c r="O133" s="16">
        <f t="shared" si="123"/>
        <v>0</v>
      </c>
      <c r="P133" s="16">
        <f t="shared" si="123"/>
        <v>0</v>
      </c>
      <c r="Q133" s="16">
        <f t="shared" si="123"/>
        <v>71</v>
      </c>
      <c r="R133" s="16">
        <f t="shared" si="100"/>
        <v>92</v>
      </c>
      <c r="S133" s="16">
        <f t="shared" si="101"/>
        <v>90</v>
      </c>
      <c r="T133" s="16">
        <f t="shared" si="101"/>
        <v>91</v>
      </c>
      <c r="U133" s="16">
        <f t="shared" si="101"/>
        <v>0</v>
      </c>
      <c r="V133" s="111">
        <f t="shared" si="125"/>
        <v>0</v>
      </c>
      <c r="W133" s="146">
        <f t="shared" si="126"/>
        <v>0</v>
      </c>
      <c r="X133" s="63">
        <f>($L133+SUM($W133:W133))*(P$11*P133)</f>
        <v>0</v>
      </c>
      <c r="Y133" s="63">
        <f>($L133+SUM($W133:X133))*(Q$11*Q133)</f>
        <v>3.688459726027389</v>
      </c>
      <c r="Z133" s="63">
        <f>($L133+SUM($W133:Y133))*(R$11*R133)</f>
        <v>4.8096276563858025</v>
      </c>
      <c r="AA133" s="63">
        <f>($L133+SUM($W133:Z133))*(S$11*S133)</f>
        <v>4.743613439982342</v>
      </c>
      <c r="AB133" s="63">
        <f>($L133+SUM($W133:AA133))*(T$11*T133)</f>
        <v>4.834756521047208</v>
      </c>
      <c r="AC133" s="63">
        <f>($L133+SUM($W133:AB133))*(U$11*U133)</f>
        <v>0</v>
      </c>
      <c r="AD133" s="63">
        <f>($L133+SUM($W133:AC133))*(V$11*V133)</f>
        <v>0</v>
      </c>
      <c r="AE133" s="115">
        <f t="shared" si="124"/>
        <v>18.07645734344274</v>
      </c>
    </row>
    <row r="134" spans="1:31" ht="12.75">
      <c r="A134" s="16">
        <v>7</v>
      </c>
      <c r="B134" s="15">
        <f t="shared" si="82"/>
        <v>41456</v>
      </c>
      <c r="C134" s="249">
        <f t="shared" si="129"/>
        <v>41491</v>
      </c>
      <c r="D134" s="249">
        <f t="shared" si="129"/>
        <v>41506</v>
      </c>
      <c r="E134" s="30" t="s">
        <v>140</v>
      </c>
      <c r="F134" s="3">
        <v>9</v>
      </c>
      <c r="G134" s="73">
        <v>14</v>
      </c>
      <c r="H134" s="253">
        <f aca="true" t="shared" si="130" ref="H134:H139">$K$8</f>
        <v>1586.22</v>
      </c>
      <c r="I134" s="253">
        <f t="shared" si="113"/>
        <v>1491.39</v>
      </c>
      <c r="J134" s="56">
        <f t="shared" si="83"/>
        <v>20879.460000000003</v>
      </c>
      <c r="K134" s="76">
        <f aca="true" t="shared" si="131" ref="K134:K197">+$G134*H134</f>
        <v>22207.08</v>
      </c>
      <c r="L134" s="79">
        <f t="shared" si="127"/>
        <v>-1327.619999999999</v>
      </c>
      <c r="M134" s="77">
        <f t="shared" si="71"/>
        <v>-37.620870159283896</v>
      </c>
      <c r="N134" s="78">
        <f t="shared" si="128"/>
        <v>-1365.2408701592828</v>
      </c>
      <c r="O134" s="16">
        <f t="shared" si="123"/>
        <v>0</v>
      </c>
      <c r="P134" s="16">
        <f t="shared" si="123"/>
        <v>0</v>
      </c>
      <c r="Q134" s="16">
        <f t="shared" si="123"/>
        <v>42</v>
      </c>
      <c r="R134" s="16">
        <f t="shared" si="100"/>
        <v>92</v>
      </c>
      <c r="S134" s="16">
        <f t="shared" si="101"/>
        <v>90</v>
      </c>
      <c r="T134" s="16">
        <f t="shared" si="101"/>
        <v>91</v>
      </c>
      <c r="U134" s="16">
        <f t="shared" si="101"/>
        <v>0</v>
      </c>
      <c r="V134" s="111">
        <f t="shared" si="125"/>
        <v>0</v>
      </c>
      <c r="W134" s="146">
        <f t="shared" si="126"/>
        <v>0</v>
      </c>
      <c r="X134" s="63">
        <f>($L134+SUM($W134:W134))*(P$11*P134)</f>
        <v>0</v>
      </c>
      <c r="Y134" s="63">
        <f>($L134+SUM($W134:X134))*(Q$11*Q134)</f>
        <v>-4.964935068493147</v>
      </c>
      <c r="Z134" s="63">
        <f>($L134+SUM($W134:Y134))*(R$11*R134)</f>
        <v>-10.91624371467066</v>
      </c>
      <c r="AA134" s="63">
        <f>($L134+SUM($W134:Z134))*(S$11*S134)</f>
        <v>-10.766413556002057</v>
      </c>
      <c r="AB134" s="63">
        <f>($L134+SUM($W134:AA134))*(T$11*T134)</f>
        <v>-10.973277820118028</v>
      </c>
      <c r="AC134" s="63">
        <f>($L134+SUM($W134:AB134))*(U$11*U134)</f>
        <v>0</v>
      </c>
      <c r="AD134" s="63">
        <f>($L134+SUM($W134:AC134))*(V$11*V134)</f>
        <v>0</v>
      </c>
      <c r="AE134" s="115">
        <f aca="true" t="shared" si="132" ref="AE134:AE139">SUM(W134:AD134)</f>
        <v>-37.620870159283896</v>
      </c>
    </row>
    <row r="135" spans="1:31" ht="12.75">
      <c r="A135" s="3">
        <v>8</v>
      </c>
      <c r="B135" s="15">
        <f t="shared" si="82"/>
        <v>41487</v>
      </c>
      <c r="C135" s="249">
        <f t="shared" si="129"/>
        <v>41522</v>
      </c>
      <c r="D135" s="249">
        <f t="shared" si="129"/>
        <v>41537</v>
      </c>
      <c r="E135" s="30" t="s">
        <v>140</v>
      </c>
      <c r="F135" s="3">
        <v>9</v>
      </c>
      <c r="G135" s="73">
        <v>14</v>
      </c>
      <c r="H135" s="253">
        <f t="shared" si="130"/>
        <v>1586.22</v>
      </c>
      <c r="I135" s="253">
        <f t="shared" si="113"/>
        <v>1491.39</v>
      </c>
      <c r="J135" s="56">
        <f t="shared" si="83"/>
        <v>20879.460000000003</v>
      </c>
      <c r="K135" s="76">
        <f t="shared" si="131"/>
        <v>22207.08</v>
      </c>
      <c r="L135" s="79">
        <f t="shared" si="127"/>
        <v>-1327.619999999999</v>
      </c>
      <c r="M135" s="77">
        <f t="shared" si="71"/>
        <v>-33.86647174053353</v>
      </c>
      <c r="N135" s="78">
        <f t="shared" si="128"/>
        <v>-1361.4864717405326</v>
      </c>
      <c r="O135" s="16">
        <f t="shared" si="123"/>
        <v>0</v>
      </c>
      <c r="P135" s="16">
        <f t="shared" si="123"/>
        <v>0</v>
      </c>
      <c r="Q135" s="16">
        <f t="shared" si="123"/>
        <v>11</v>
      </c>
      <c r="R135" s="16">
        <f t="shared" si="100"/>
        <v>92</v>
      </c>
      <c r="S135" s="16">
        <f t="shared" si="101"/>
        <v>90</v>
      </c>
      <c r="T135" s="16">
        <f t="shared" si="101"/>
        <v>91</v>
      </c>
      <c r="U135" s="16">
        <f t="shared" si="101"/>
        <v>0</v>
      </c>
      <c r="V135" s="111">
        <f t="shared" si="125"/>
        <v>0</v>
      </c>
      <c r="W135" s="146">
        <f t="shared" si="126"/>
        <v>0</v>
      </c>
      <c r="X135" s="63">
        <f>($L135+SUM($W135:W135))*(P$11*P135)</f>
        <v>0</v>
      </c>
      <c r="Y135" s="63">
        <f>($L135+SUM($W135:X135))*(Q$11*Q135)</f>
        <v>-1.3003401369863004</v>
      </c>
      <c r="Z135" s="63">
        <f>($L135+SUM($W135:Y135))*(R$11*R135)</f>
        <v>-10.886224156190645</v>
      </c>
      <c r="AA135" s="63">
        <f>($L135+SUM($W135:Z135))*(S$11*S135)</f>
        <v>-10.736806028924764</v>
      </c>
      <c r="AB135" s="63">
        <f>($L135+SUM($W135:AA135))*(T$11*T135)</f>
        <v>-10.943101418431816</v>
      </c>
      <c r="AC135" s="63">
        <f>($L135+SUM($W135:AB135))*(U$11*U135)</f>
        <v>0</v>
      </c>
      <c r="AD135" s="63">
        <f>($L135+SUM($W135:AC135))*(V$11*V135)</f>
        <v>0</v>
      </c>
      <c r="AE135" s="115">
        <f t="shared" si="132"/>
        <v>-33.86647174053353</v>
      </c>
    </row>
    <row r="136" spans="1:31" ht="12.75">
      <c r="A136" s="3">
        <v>9</v>
      </c>
      <c r="B136" s="15">
        <f t="shared" si="82"/>
        <v>41518</v>
      </c>
      <c r="C136" s="249">
        <f t="shared" si="129"/>
        <v>41550</v>
      </c>
      <c r="D136" s="249">
        <f t="shared" si="129"/>
        <v>41565</v>
      </c>
      <c r="E136" s="30" t="s">
        <v>140</v>
      </c>
      <c r="F136" s="3">
        <v>9</v>
      </c>
      <c r="G136" s="73">
        <v>12</v>
      </c>
      <c r="H136" s="253">
        <f t="shared" si="130"/>
        <v>1586.22</v>
      </c>
      <c r="I136" s="253">
        <f t="shared" si="113"/>
        <v>1491.39</v>
      </c>
      <c r="J136" s="56">
        <f t="shared" si="83"/>
        <v>17896.68</v>
      </c>
      <c r="K136" s="76">
        <f t="shared" si="131"/>
        <v>19034.64</v>
      </c>
      <c r="L136" s="79">
        <f t="shared" si="127"/>
        <v>-1137.9599999999991</v>
      </c>
      <c r="M136" s="77">
        <f t="shared" si="71"/>
        <v>-26.136112219499964</v>
      </c>
      <c r="N136" s="78">
        <f t="shared" si="128"/>
        <v>-1164.096112219499</v>
      </c>
      <c r="O136" s="16">
        <f t="shared" si="123"/>
        <v>0</v>
      </c>
      <c r="P136" s="16">
        <f t="shared" si="123"/>
        <v>0</v>
      </c>
      <c r="Q136" s="16">
        <f t="shared" si="123"/>
        <v>0</v>
      </c>
      <c r="R136" s="16">
        <f t="shared" si="100"/>
        <v>75</v>
      </c>
      <c r="S136" s="16">
        <f t="shared" si="101"/>
        <v>90</v>
      </c>
      <c r="T136" s="16">
        <f t="shared" si="101"/>
        <v>91</v>
      </c>
      <c r="U136" s="16">
        <f t="shared" si="101"/>
        <v>0</v>
      </c>
      <c r="V136" s="111">
        <f t="shared" si="125"/>
        <v>0</v>
      </c>
      <c r="W136" s="146">
        <f t="shared" si="126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-7.599390410958899</v>
      </c>
      <c r="AA136" s="63">
        <f>($L136+SUM($W136:Z136))*(S$11*S136)</f>
        <v>-9.180167717676854</v>
      </c>
      <c r="AB136" s="63">
        <f>($L136+SUM($W136:AA136))*(T$11*T136)</f>
        <v>-9.356554090864213</v>
      </c>
      <c r="AC136" s="63">
        <f>($L136+SUM($W136:AB136))*(U$11*U136)</f>
        <v>0</v>
      </c>
      <c r="AD136" s="63">
        <f>($L136+SUM($W136:AC136))*(V$11*V136)</f>
        <v>0</v>
      </c>
      <c r="AE136" s="115">
        <f t="shared" si="132"/>
        <v>-26.136112219499964</v>
      </c>
    </row>
    <row r="137" spans="1:31" ht="12.75">
      <c r="A137" s="16">
        <v>10</v>
      </c>
      <c r="B137" s="15">
        <f t="shared" si="82"/>
        <v>41548</v>
      </c>
      <c r="C137" s="249">
        <f t="shared" si="129"/>
        <v>41583</v>
      </c>
      <c r="D137" s="249">
        <f t="shared" si="129"/>
        <v>41598</v>
      </c>
      <c r="E137" s="30" t="s">
        <v>140</v>
      </c>
      <c r="F137" s="3">
        <v>9</v>
      </c>
      <c r="G137" s="73">
        <v>7</v>
      </c>
      <c r="H137" s="253">
        <f t="shared" si="130"/>
        <v>1586.22</v>
      </c>
      <c r="I137" s="253">
        <f t="shared" si="113"/>
        <v>1491.39</v>
      </c>
      <c r="J137" s="56">
        <f t="shared" si="83"/>
        <v>10439.730000000001</v>
      </c>
      <c r="K137" s="76">
        <f t="shared" si="131"/>
        <v>11103.54</v>
      </c>
      <c r="L137" s="79">
        <f t="shared" si="127"/>
        <v>-663.8099999999995</v>
      </c>
      <c r="M137" s="77">
        <f t="shared" si="71"/>
        <v>-13.26399332609395</v>
      </c>
      <c r="N137" s="78">
        <f t="shared" si="128"/>
        <v>-677.0739933260934</v>
      </c>
      <c r="O137" s="16">
        <f t="shared" si="123"/>
        <v>0</v>
      </c>
      <c r="P137" s="16">
        <f t="shared" si="123"/>
        <v>0</v>
      </c>
      <c r="Q137" s="16">
        <f t="shared" si="123"/>
        <v>0</v>
      </c>
      <c r="R137" s="16">
        <f t="shared" si="100"/>
        <v>42</v>
      </c>
      <c r="S137" s="16">
        <f t="shared" si="101"/>
        <v>90</v>
      </c>
      <c r="T137" s="16">
        <f t="shared" si="101"/>
        <v>91</v>
      </c>
      <c r="U137" s="16">
        <f t="shared" si="101"/>
        <v>0</v>
      </c>
      <c r="V137" s="111">
        <f t="shared" si="125"/>
        <v>0</v>
      </c>
      <c r="W137" s="146">
        <f t="shared" si="126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-2.4824675342465734</v>
      </c>
      <c r="AA137" s="63">
        <f>($L137+SUM($W137:Z137))*(S$11*S137)</f>
        <v>-5.33946703434978</v>
      </c>
      <c r="AB137" s="63">
        <f>($L137+SUM($W137:AA137))*(T$11*T137)</f>
        <v>-5.442058757497596</v>
      </c>
      <c r="AC137" s="63">
        <f>($L137+SUM($W137:AB137))*(U$11*U137)</f>
        <v>0</v>
      </c>
      <c r="AD137" s="63">
        <f>($L137+SUM($W137:AC137))*(V$11*V137)</f>
        <v>0</v>
      </c>
      <c r="AE137" s="115">
        <f t="shared" si="132"/>
        <v>-13.26399332609395</v>
      </c>
    </row>
    <row r="138" spans="1:31" ht="12.75">
      <c r="A138" s="3">
        <v>11</v>
      </c>
      <c r="B138" s="15">
        <f t="shared" si="82"/>
        <v>41579</v>
      </c>
      <c r="C138" s="249">
        <f t="shared" si="129"/>
        <v>41612</v>
      </c>
      <c r="D138" s="249">
        <f t="shared" si="129"/>
        <v>41627</v>
      </c>
      <c r="E138" s="30" t="s">
        <v>140</v>
      </c>
      <c r="F138" s="3">
        <v>9</v>
      </c>
      <c r="G138" s="73">
        <v>6</v>
      </c>
      <c r="H138" s="253">
        <f t="shared" si="130"/>
        <v>1586.22</v>
      </c>
      <c r="I138" s="253">
        <f t="shared" si="113"/>
        <v>1491.39</v>
      </c>
      <c r="J138" s="56">
        <f t="shared" si="83"/>
        <v>8948.34</v>
      </c>
      <c r="K138" s="76">
        <f t="shared" si="131"/>
        <v>9517.32</v>
      </c>
      <c r="L138" s="79">
        <f t="shared" si="127"/>
        <v>-568.9799999999996</v>
      </c>
      <c r="M138" s="77">
        <f aca="true" t="shared" si="133" ref="M138:M199">+AE138</f>
        <v>-9.876147736050658</v>
      </c>
      <c r="N138" s="78">
        <f t="shared" si="128"/>
        <v>-578.8561477360503</v>
      </c>
      <c r="O138" s="16">
        <f t="shared" si="123"/>
        <v>0</v>
      </c>
      <c r="P138" s="16">
        <f t="shared" si="123"/>
        <v>0</v>
      </c>
      <c r="Q138" s="16">
        <f t="shared" si="123"/>
        <v>0</v>
      </c>
      <c r="R138" s="16">
        <f aca="true" t="shared" si="134" ref="R138:U139">IF($D138&lt;R$8,R$12,IF($D138&lt;S$8,S$8-$D138,0))</f>
        <v>13</v>
      </c>
      <c r="S138" s="16">
        <f t="shared" si="134"/>
        <v>90</v>
      </c>
      <c r="T138" s="16">
        <f t="shared" si="134"/>
        <v>91</v>
      </c>
      <c r="U138" s="16">
        <f t="shared" si="134"/>
        <v>0</v>
      </c>
      <c r="V138" s="111">
        <f t="shared" si="125"/>
        <v>0</v>
      </c>
      <c r="W138" s="146">
        <f t="shared" si="126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-0.6586138356164378</v>
      </c>
      <c r="AA138" s="63">
        <f>($L138+SUM($W138:Z138))*(S$11*S138)</f>
        <v>-4.564912179367607</v>
      </c>
      <c r="AB138" s="63">
        <f>($L138+SUM($W138:AA138))*(T$11*T138)</f>
        <v>-4.652621721066613</v>
      </c>
      <c r="AC138" s="63">
        <f>($L138+SUM($W138:AB138))*(U$11*U138)</f>
        <v>0</v>
      </c>
      <c r="AD138" s="63">
        <f>($L138+SUM($W138:AC138))*(V$11*V138)</f>
        <v>0</v>
      </c>
      <c r="AE138" s="115">
        <f t="shared" si="132"/>
        <v>-9.876147736050658</v>
      </c>
    </row>
    <row r="139" spans="1:31" s="70" customFormat="1" ht="12.75">
      <c r="A139" s="3">
        <v>12</v>
      </c>
      <c r="B139" s="87">
        <f t="shared" si="82"/>
        <v>41609</v>
      </c>
      <c r="C139" s="249">
        <f t="shared" si="129"/>
        <v>41280</v>
      </c>
      <c r="D139" s="249">
        <f t="shared" si="129"/>
        <v>41295</v>
      </c>
      <c r="E139" s="88" t="s">
        <v>140</v>
      </c>
      <c r="F139" s="84">
        <v>9</v>
      </c>
      <c r="G139" s="89">
        <v>8</v>
      </c>
      <c r="H139" s="254">
        <f t="shared" si="130"/>
        <v>1586.22</v>
      </c>
      <c r="I139" s="254">
        <f t="shared" si="113"/>
        <v>1491.39</v>
      </c>
      <c r="J139" s="90">
        <f t="shared" si="83"/>
        <v>11931.12</v>
      </c>
      <c r="K139" s="91">
        <f t="shared" si="131"/>
        <v>12689.76</v>
      </c>
      <c r="L139" s="92">
        <f t="shared" si="127"/>
        <v>-758.6399999999994</v>
      </c>
      <c r="M139" s="93">
        <f t="shared" si="133"/>
        <v>-36.23084862606838</v>
      </c>
      <c r="N139" s="94">
        <f t="shared" si="128"/>
        <v>-794.8708486260678</v>
      </c>
      <c r="O139" s="84">
        <f t="shared" si="123"/>
        <v>70</v>
      </c>
      <c r="P139" s="84">
        <f t="shared" si="123"/>
        <v>91</v>
      </c>
      <c r="Q139" s="84">
        <f t="shared" si="123"/>
        <v>92</v>
      </c>
      <c r="R139" s="84">
        <f t="shared" si="134"/>
        <v>92</v>
      </c>
      <c r="S139" s="84">
        <f t="shared" si="134"/>
        <v>90</v>
      </c>
      <c r="T139" s="84">
        <f t="shared" si="134"/>
        <v>91</v>
      </c>
      <c r="U139" s="84">
        <f t="shared" si="134"/>
        <v>0</v>
      </c>
      <c r="V139" s="112">
        <f t="shared" si="125"/>
        <v>0</v>
      </c>
      <c r="W139" s="147">
        <f t="shared" si="126"/>
        <v>-4.728509589041092</v>
      </c>
      <c r="X139" s="95">
        <f>($L139+SUM($W139:W139))*(P$11*P139)</f>
        <v>-6.185376348245445</v>
      </c>
      <c r="Y139" s="95">
        <f>($L139+SUM($W139:X139))*(Q$11*Q139)</f>
        <v>-6.304016764253383</v>
      </c>
      <c r="Z139" s="95">
        <f>($L139+SUM($W139:Y139))*(R$11*R139)</f>
        <v>-6.355657887883843</v>
      </c>
      <c r="AA139" s="95">
        <f>($L139+SUM($W139:Z139))*(S$11*S139)</f>
        <v>-6.268423738970035</v>
      </c>
      <c r="AB139" s="95">
        <f>($L139+SUM($W139:AA139))*(T$11*T139)</f>
        <v>-6.3888642976745835</v>
      </c>
      <c r="AC139" s="95">
        <f>($L139+SUM($W139:AB139))*(U$11*U139)</f>
        <v>0</v>
      </c>
      <c r="AD139" s="95">
        <f>($L139+SUM($W139:AC139))*(V$11*V139)</f>
        <v>0</v>
      </c>
      <c r="AE139" s="116">
        <f t="shared" si="132"/>
        <v>-36.23084862606838</v>
      </c>
    </row>
    <row r="140" spans="1:31" ht="12.75">
      <c r="A140" s="16">
        <v>1</v>
      </c>
      <c r="B140" s="15">
        <f t="shared" si="82"/>
        <v>41275</v>
      </c>
      <c r="C140" s="248">
        <f t="shared" si="129"/>
        <v>41310</v>
      </c>
      <c r="D140" s="248">
        <f t="shared" si="129"/>
        <v>41325</v>
      </c>
      <c r="E140" s="122" t="s">
        <v>141</v>
      </c>
      <c r="F140" s="3">
        <v>9</v>
      </c>
      <c r="G140" s="73">
        <v>2</v>
      </c>
      <c r="H140" s="253">
        <f aca="true" t="shared" si="135" ref="H140:H145">$K$3</f>
        <v>1446.51</v>
      </c>
      <c r="I140" s="253">
        <f t="shared" si="113"/>
        <v>1491.39</v>
      </c>
      <c r="J140" s="56">
        <f t="shared" si="83"/>
        <v>2982.78</v>
      </c>
      <c r="K140" s="57">
        <f t="shared" si="131"/>
        <v>2893.02</v>
      </c>
      <c r="L140" s="58">
        <f t="shared" si="127"/>
        <v>89.76000000000022</v>
      </c>
      <c r="M140" s="55">
        <f t="shared" si="133"/>
        <v>4.037060317837211</v>
      </c>
      <c r="N140" s="29">
        <f t="shared" si="128"/>
        <v>93.79706031783743</v>
      </c>
      <c r="O140" s="16">
        <f aca="true" t="shared" si="136" ref="O140:O154">IF($D140&lt;O$8,O$12,IF($D140&lt;P$8,P$8-$D140,0))</f>
        <v>40</v>
      </c>
      <c r="P140" s="16">
        <f aca="true" t="shared" si="137" ref="P140:P154">IF($D140&lt;P$8,P$12,IF($D140&lt;Q$8,Q$8-$D140,0))</f>
        <v>91</v>
      </c>
      <c r="Q140" s="16">
        <f aca="true" t="shared" si="138" ref="Q140:Q154">IF($D140&lt;Q$8,Q$12,IF($D140&lt;R$8,R$8-$D140,0))</f>
        <v>92</v>
      </c>
      <c r="R140" s="16">
        <f aca="true" t="shared" si="139" ref="R140:R154">IF($D140&lt;R$8,R$12,IF($D140&lt;S$8,S$8-$D140,0))</f>
        <v>92</v>
      </c>
      <c r="S140" s="16">
        <f aca="true" t="shared" si="140" ref="S140:U141">IF($D140&lt;S$8,S$12,IF($D140&lt;T$8,T$8-$D140,0))</f>
        <v>90</v>
      </c>
      <c r="T140" s="16">
        <f t="shared" si="140"/>
        <v>91</v>
      </c>
      <c r="U140" s="16">
        <f t="shared" si="140"/>
        <v>0</v>
      </c>
      <c r="V140" s="111">
        <f t="shared" si="125"/>
        <v>0</v>
      </c>
      <c r="W140" s="146">
        <f t="shared" si="126"/>
        <v>0.3196931506849323</v>
      </c>
      <c r="X140" s="63">
        <f>($L140+SUM($W140:W140))*(P$11*P140)</f>
        <v>0.7298923082004146</v>
      </c>
      <c r="Y140" s="63">
        <f>($L140+SUM($W140:X140))*(Q$11*Q140)</f>
        <v>0.743892220608405</v>
      </c>
      <c r="Z140" s="63">
        <f>($L140+SUM($W140:Y140))*(R$11*R140)</f>
        <v>0.7499860226347587</v>
      </c>
      <c r="AA140" s="63">
        <f>($L140+SUM($W140:Z140))*(S$11*S140)</f>
        <v>0.7396921406266479</v>
      </c>
      <c r="AB140" s="63">
        <f>($L140+SUM($W140:AA140))*(T$11*T140)</f>
        <v>0.7539044750820522</v>
      </c>
      <c r="AC140" s="63">
        <f>($L140+SUM($W140:AB140))*(U$11*U140)</f>
        <v>0</v>
      </c>
      <c r="AD140" s="63">
        <f>($L140+SUM($W140:AC140))*(V$11*V140)</f>
        <v>0</v>
      </c>
      <c r="AE140" s="115">
        <f>SUM(W140:AD140)</f>
        <v>4.037060317837211</v>
      </c>
    </row>
    <row r="141" spans="1:31" ht="12.75">
      <c r="A141" s="3">
        <v>2</v>
      </c>
      <c r="B141" s="15">
        <f t="shared" si="82"/>
        <v>41306</v>
      </c>
      <c r="C141" s="249">
        <f t="shared" si="129"/>
        <v>41338</v>
      </c>
      <c r="D141" s="249">
        <f t="shared" si="129"/>
        <v>41353</v>
      </c>
      <c r="E141" s="30" t="s">
        <v>141</v>
      </c>
      <c r="F141" s="3">
        <v>9</v>
      </c>
      <c r="G141" s="73">
        <v>1</v>
      </c>
      <c r="H141" s="253">
        <f t="shared" si="135"/>
        <v>1446.51</v>
      </c>
      <c r="I141" s="253">
        <f t="shared" si="113"/>
        <v>1491.39</v>
      </c>
      <c r="J141" s="56">
        <f t="shared" si="83"/>
        <v>1491.39</v>
      </c>
      <c r="K141" s="57">
        <f t="shared" si="131"/>
        <v>1446.51</v>
      </c>
      <c r="L141" s="58">
        <f t="shared" si="127"/>
        <v>44.88000000000011</v>
      </c>
      <c r="M141" s="55">
        <f t="shared" si="133"/>
        <v>1.9020200239346685</v>
      </c>
      <c r="N141" s="29">
        <f t="shared" si="128"/>
        <v>46.78202002393478</v>
      </c>
      <c r="O141" s="16">
        <f t="shared" si="136"/>
        <v>12</v>
      </c>
      <c r="P141" s="16">
        <f t="shared" si="137"/>
        <v>91</v>
      </c>
      <c r="Q141" s="16">
        <f t="shared" si="138"/>
        <v>92</v>
      </c>
      <c r="R141" s="16">
        <f t="shared" si="139"/>
        <v>92</v>
      </c>
      <c r="S141" s="16">
        <f t="shared" si="140"/>
        <v>90</v>
      </c>
      <c r="T141" s="16">
        <f t="shared" si="140"/>
        <v>91</v>
      </c>
      <c r="U141" s="16">
        <f t="shared" si="140"/>
        <v>0</v>
      </c>
      <c r="V141" s="111">
        <f t="shared" si="125"/>
        <v>0</v>
      </c>
      <c r="W141" s="146">
        <f t="shared" si="126"/>
        <v>0.04795397260273984</v>
      </c>
      <c r="X141" s="63">
        <f>($L141+SUM($W141:W141))*(P$11*P141)</f>
        <v>0.36403951746293955</v>
      </c>
      <c r="Y141" s="63">
        <f>($L141+SUM($W141:X141))*(Q$11*Q141)</f>
        <v>0.37102208365834716</v>
      </c>
      <c r="Z141" s="63">
        <f>($L141+SUM($W141:Y141))*(R$11*R141)</f>
        <v>0.37406141524776754</v>
      </c>
      <c r="AA141" s="63">
        <f>($L141+SUM($W141:Z141))*(S$11*S141)</f>
        <v>0.3689272608020351</v>
      </c>
      <c r="AB141" s="63">
        <f>($L141+SUM($W141:AA141))*(T$11*T141)</f>
        <v>0.3760157741608395</v>
      </c>
      <c r="AC141" s="63">
        <f>($L141+SUM($W141:AB141))*(U$11*U141)</f>
        <v>0</v>
      </c>
      <c r="AD141" s="63">
        <f>($L141+SUM($W141:AC141))*(V$11*V141)</f>
        <v>0</v>
      </c>
      <c r="AE141" s="115">
        <f>SUM(W141:AD141)</f>
        <v>1.9020200239346685</v>
      </c>
    </row>
    <row r="142" spans="1:31" ht="12.75">
      <c r="A142" s="3">
        <v>3</v>
      </c>
      <c r="B142" s="15">
        <f t="shared" si="82"/>
        <v>41334</v>
      </c>
      <c r="C142" s="249">
        <f t="shared" si="129"/>
        <v>41367</v>
      </c>
      <c r="D142" s="249">
        <f t="shared" si="129"/>
        <v>41382</v>
      </c>
      <c r="E142" s="30" t="s">
        <v>141</v>
      </c>
      <c r="F142" s="3">
        <v>9</v>
      </c>
      <c r="G142" s="73">
        <v>1</v>
      </c>
      <c r="H142" s="253">
        <f t="shared" si="135"/>
        <v>1446.51</v>
      </c>
      <c r="I142" s="253">
        <f t="shared" si="113"/>
        <v>1491.39</v>
      </c>
      <c r="J142" s="56">
        <f t="shared" si="83"/>
        <v>1491.39</v>
      </c>
      <c r="K142" s="57">
        <f t="shared" si="131"/>
        <v>1446.51</v>
      </c>
      <c r="L142" s="58">
        <f>+J142-K142</f>
        <v>44.88000000000011</v>
      </c>
      <c r="M142" s="55">
        <f t="shared" si="133"/>
        <v>1.7819173797535617</v>
      </c>
      <c r="N142" s="29">
        <f>SUM(L142:M142)</f>
        <v>46.66191737975367</v>
      </c>
      <c r="O142" s="16">
        <f aca="true" t="shared" si="141" ref="O142:O149">IF($D142&lt;O$8,O$12,IF($D142&lt;P$8,P$8-$D142,0))</f>
        <v>0</v>
      </c>
      <c r="P142" s="16">
        <f aca="true" t="shared" si="142" ref="P142:P149">IF($D142&lt;P$8,P$12,IF($D142&lt;Q$8,Q$8-$D142,0))</f>
        <v>74</v>
      </c>
      <c r="Q142" s="16">
        <f aca="true" t="shared" si="143" ref="Q142:Q149">IF($D142&lt;Q$8,Q$12,IF($D142&lt;R$8,R$8-$D142,0))</f>
        <v>92</v>
      </c>
      <c r="R142" s="16">
        <f aca="true" t="shared" si="144" ref="R142:R149">IF($D142&lt;R$8,R$12,IF($D142&lt;S$8,S$8-$D142,0))</f>
        <v>92</v>
      </c>
      <c r="S142" s="16">
        <f aca="true" t="shared" si="145" ref="S142:U149">IF($D142&lt;S$8,S$12,IF($D142&lt;T$8,T$8-$D142,0))</f>
        <v>90</v>
      </c>
      <c r="T142" s="16">
        <f t="shared" si="145"/>
        <v>91</v>
      </c>
      <c r="U142" s="16">
        <f t="shared" si="145"/>
        <v>0</v>
      </c>
      <c r="V142" s="111">
        <f aca="true" t="shared" si="146" ref="V142:V149">IF(W$8&lt;V$8,0,IF($D142&lt;V$8,V$12,IF($D142&lt;W$8,W$8-$D142,0)))</f>
        <v>0</v>
      </c>
      <c r="W142" s="146">
        <f aca="true" t="shared" si="147" ref="W142:W149">$L142*O$11*O142</f>
        <v>0</v>
      </c>
      <c r="X142" s="63">
        <f>($L142+SUM($W142:W142))*(P$11*P142)</f>
        <v>0.29571616438356235</v>
      </c>
      <c r="Y142" s="63">
        <f>($L142+SUM($W142:X142))*(Q$11*Q142)</f>
        <v>0.37006956529180046</v>
      </c>
      <c r="Z142" s="63">
        <f>($L142+SUM($W142:Y142))*(R$11*R142)</f>
        <v>0.3731010940595333</v>
      </c>
      <c r="AA142" s="63">
        <f>($L142+SUM($W142:Z142))*(S$11*S142)</f>
        <v>0.3679801204367805</v>
      </c>
      <c r="AB142" s="63">
        <f>($L142+SUM($W142:AA142))*(T$11*T142)</f>
        <v>0.37505043558188506</v>
      </c>
      <c r="AC142" s="63">
        <f>($L142+SUM($W142:AB142))*(U$11*U142)</f>
        <v>0</v>
      </c>
      <c r="AD142" s="63">
        <f>($L142+SUM($W142:AC142))*(V$11*V142)</f>
        <v>0</v>
      </c>
      <c r="AE142" s="115">
        <f aca="true" t="shared" si="148" ref="AE142:AE149">SUM(W142:AD142)</f>
        <v>1.7819173797535617</v>
      </c>
    </row>
    <row r="143" spans="1:31" ht="12.75">
      <c r="A143" s="16">
        <v>4</v>
      </c>
      <c r="B143" s="15">
        <f t="shared" si="82"/>
        <v>41365</v>
      </c>
      <c r="C143" s="249">
        <f t="shared" si="129"/>
        <v>41397</v>
      </c>
      <c r="D143" s="249">
        <f t="shared" si="129"/>
        <v>41414</v>
      </c>
      <c r="E143" s="30" t="s">
        <v>141</v>
      </c>
      <c r="F143" s="3">
        <v>9</v>
      </c>
      <c r="G143" s="73">
        <v>2</v>
      </c>
      <c r="H143" s="253">
        <f t="shared" si="135"/>
        <v>1446.51</v>
      </c>
      <c r="I143" s="253">
        <f t="shared" si="113"/>
        <v>1491.39</v>
      </c>
      <c r="J143" s="56">
        <f t="shared" si="83"/>
        <v>2982.78</v>
      </c>
      <c r="K143" s="57">
        <f t="shared" si="131"/>
        <v>2893.02</v>
      </c>
      <c r="L143" s="58">
        <f aca="true" t="shared" si="149" ref="L143:L153">+J143-K143</f>
        <v>89.76000000000022</v>
      </c>
      <c r="M143" s="55">
        <f t="shared" si="133"/>
        <v>3.29966636726998</v>
      </c>
      <c r="N143" s="29">
        <f aca="true" t="shared" si="150" ref="N143:N153">SUM(L143:M143)</f>
        <v>93.0596663672702</v>
      </c>
      <c r="O143" s="16">
        <f t="shared" si="141"/>
        <v>0</v>
      </c>
      <c r="P143" s="16">
        <f t="shared" si="142"/>
        <v>42</v>
      </c>
      <c r="Q143" s="16">
        <f t="shared" si="143"/>
        <v>92</v>
      </c>
      <c r="R143" s="16">
        <f t="shared" si="144"/>
        <v>92</v>
      </c>
      <c r="S143" s="16">
        <f t="shared" si="145"/>
        <v>90</v>
      </c>
      <c r="T143" s="16">
        <f t="shared" si="145"/>
        <v>91</v>
      </c>
      <c r="U143" s="16">
        <f t="shared" si="145"/>
        <v>0</v>
      </c>
      <c r="V143" s="111">
        <f t="shared" si="146"/>
        <v>0</v>
      </c>
      <c r="W143" s="146">
        <f t="shared" si="147"/>
        <v>0</v>
      </c>
      <c r="X143" s="63">
        <f>($L143+SUM($W143:W143))*(P$11*P143)</f>
        <v>0.3356778082191789</v>
      </c>
      <c r="Y143" s="63">
        <f>($L143+SUM($W143:X143))*(Q$11*Q143)</f>
        <v>0.7380440456070574</v>
      </c>
      <c r="Z143" s="63">
        <f>($L143+SUM($W143:Y143))*(R$11*R143)</f>
        <v>0.744089940665592</v>
      </c>
      <c r="AA143" s="63">
        <f>($L143+SUM($W143:Z143))*(S$11*S143)</f>
        <v>0.7338769849284636</v>
      </c>
      <c r="AB143" s="63">
        <f>($L143+SUM($W143:AA143))*(T$11*T143)</f>
        <v>0.747977587849688</v>
      </c>
      <c r="AC143" s="63">
        <f>($L143+SUM($W143:AB143))*(U$11*U143)</f>
        <v>0</v>
      </c>
      <c r="AD143" s="63">
        <f>($L143+SUM($W143:AC143))*(V$11*V143)</f>
        <v>0</v>
      </c>
      <c r="AE143" s="115">
        <f t="shared" si="148"/>
        <v>3.29966636726998</v>
      </c>
    </row>
    <row r="144" spans="1:31" ht="12.75">
      <c r="A144" s="3">
        <v>5</v>
      </c>
      <c r="B144" s="15">
        <f t="shared" si="82"/>
        <v>41395</v>
      </c>
      <c r="C144" s="249">
        <f t="shared" si="129"/>
        <v>41430</v>
      </c>
      <c r="D144" s="249">
        <f t="shared" si="129"/>
        <v>41445</v>
      </c>
      <c r="E144" s="30" t="s">
        <v>141</v>
      </c>
      <c r="F144" s="3">
        <v>9</v>
      </c>
      <c r="G144" s="73">
        <v>2</v>
      </c>
      <c r="H144" s="253">
        <f t="shared" si="135"/>
        <v>1446.51</v>
      </c>
      <c r="I144" s="253">
        <f t="shared" si="113"/>
        <v>1491.39</v>
      </c>
      <c r="J144" s="56">
        <f t="shared" si="83"/>
        <v>2982.78</v>
      </c>
      <c r="K144" s="57">
        <f t="shared" si="131"/>
        <v>2893.02</v>
      </c>
      <c r="L144" s="58">
        <f t="shared" si="149"/>
        <v>89.76000000000022</v>
      </c>
      <c r="M144" s="55">
        <f t="shared" si="133"/>
        <v>3.043753237290247</v>
      </c>
      <c r="N144" s="29">
        <f t="shared" si="150"/>
        <v>92.80375323729046</v>
      </c>
      <c r="O144" s="16">
        <f t="shared" si="141"/>
        <v>0</v>
      </c>
      <c r="P144" s="16">
        <f t="shared" si="142"/>
        <v>11</v>
      </c>
      <c r="Q144" s="16">
        <f t="shared" si="143"/>
        <v>92</v>
      </c>
      <c r="R144" s="16">
        <f t="shared" si="144"/>
        <v>92</v>
      </c>
      <c r="S144" s="16">
        <f t="shared" si="145"/>
        <v>90</v>
      </c>
      <c r="T144" s="16">
        <f t="shared" si="145"/>
        <v>91</v>
      </c>
      <c r="U144" s="16">
        <f t="shared" si="145"/>
        <v>0</v>
      </c>
      <c r="V144" s="111">
        <f t="shared" si="146"/>
        <v>0</v>
      </c>
      <c r="W144" s="146">
        <f t="shared" si="147"/>
        <v>0</v>
      </c>
      <c r="X144" s="63">
        <f>($L144+SUM($W144:W144))*(P$11*P144)</f>
        <v>0.08791561643835637</v>
      </c>
      <c r="Y144" s="63">
        <f>($L144+SUM($W144:X144))*(Q$11*Q144)</f>
        <v>0.7360144320360309</v>
      </c>
      <c r="Z144" s="63">
        <f>($L144+SUM($W144:Y144))*(R$11*R144)</f>
        <v>0.7420437009450385</v>
      </c>
      <c r="AA144" s="63">
        <f>($L144+SUM($W144:Z144))*(S$11*S144)</f>
        <v>0.7318588307316505</v>
      </c>
      <c r="AB144" s="63">
        <f>($L144+SUM($W144:AA144))*(T$11*T144)</f>
        <v>0.7459206571391711</v>
      </c>
      <c r="AC144" s="63">
        <f>($L144+SUM($W144:AB144))*(U$11*U144)</f>
        <v>0</v>
      </c>
      <c r="AD144" s="63">
        <f>($L144+SUM($W144:AC144))*(V$11*V144)</f>
        <v>0</v>
      </c>
      <c r="AE144" s="115">
        <f t="shared" si="148"/>
        <v>3.043753237290247</v>
      </c>
    </row>
    <row r="145" spans="1:31" ht="12.75">
      <c r="A145" s="3">
        <v>6</v>
      </c>
      <c r="B145" s="15">
        <f t="shared" si="82"/>
        <v>41426</v>
      </c>
      <c r="C145" s="249">
        <f t="shared" si="129"/>
        <v>41460</v>
      </c>
      <c r="D145" s="249">
        <f t="shared" si="129"/>
        <v>41477</v>
      </c>
      <c r="E145" s="30" t="s">
        <v>141</v>
      </c>
      <c r="F145" s="3">
        <v>9</v>
      </c>
      <c r="G145" s="73">
        <v>2</v>
      </c>
      <c r="H145" s="253">
        <f t="shared" si="135"/>
        <v>1446.51</v>
      </c>
      <c r="I145" s="253">
        <f t="shared" si="113"/>
        <v>1491.39</v>
      </c>
      <c r="J145" s="56">
        <f t="shared" si="83"/>
        <v>2982.78</v>
      </c>
      <c r="K145" s="57">
        <f t="shared" si="131"/>
        <v>2893.02</v>
      </c>
      <c r="L145" s="79">
        <f t="shared" si="149"/>
        <v>89.76000000000022</v>
      </c>
      <c r="M145" s="80">
        <f t="shared" si="133"/>
        <v>2.780993437452742</v>
      </c>
      <c r="N145" s="78">
        <f t="shared" si="150"/>
        <v>92.54099343745295</v>
      </c>
      <c r="O145" s="16">
        <f t="shared" si="141"/>
        <v>0</v>
      </c>
      <c r="P145" s="16">
        <f t="shared" si="142"/>
        <v>0</v>
      </c>
      <c r="Q145" s="16">
        <f t="shared" si="143"/>
        <v>71</v>
      </c>
      <c r="R145" s="16">
        <f t="shared" si="144"/>
        <v>92</v>
      </c>
      <c r="S145" s="16">
        <f t="shared" si="145"/>
        <v>90</v>
      </c>
      <c r="T145" s="16">
        <f t="shared" si="145"/>
        <v>91</v>
      </c>
      <c r="U145" s="16">
        <f t="shared" si="145"/>
        <v>0</v>
      </c>
      <c r="V145" s="111">
        <f t="shared" si="146"/>
        <v>0</v>
      </c>
      <c r="W145" s="146">
        <f t="shared" si="147"/>
        <v>0</v>
      </c>
      <c r="X145" s="63">
        <f>($L145+SUM($W145:W145))*(P$11*P145)</f>
        <v>0</v>
      </c>
      <c r="Y145" s="63">
        <f>($L145+SUM($W145:X145))*(Q$11*Q145)</f>
        <v>0.5674553424657548</v>
      </c>
      <c r="Z145" s="63">
        <f>($L145+SUM($W145:Y145))*(R$11*R145)</f>
        <v>0.7399427163670499</v>
      </c>
      <c r="AA145" s="63">
        <f>($L145+SUM($W145:Z145))*(S$11*S145)</f>
        <v>0.7297866830742098</v>
      </c>
      <c r="AB145" s="63">
        <f>($L145+SUM($W145:AA145))*(T$11*T145)</f>
        <v>0.7438086955457278</v>
      </c>
      <c r="AC145" s="63">
        <f>($L145+SUM($W145:AB145))*(U$11*U145)</f>
        <v>0</v>
      </c>
      <c r="AD145" s="63">
        <f>($L145+SUM($W145:AC145))*(V$11*V145)</f>
        <v>0</v>
      </c>
      <c r="AE145" s="115">
        <f t="shared" si="148"/>
        <v>2.780993437452742</v>
      </c>
    </row>
    <row r="146" spans="1:31" ht="12.75">
      <c r="A146" s="16">
        <v>7</v>
      </c>
      <c r="B146" s="15">
        <f t="shared" si="82"/>
        <v>41456</v>
      </c>
      <c r="C146" s="249">
        <f t="shared" si="129"/>
        <v>41491</v>
      </c>
      <c r="D146" s="249">
        <f t="shared" si="129"/>
        <v>41506</v>
      </c>
      <c r="E146" s="30" t="s">
        <v>141</v>
      </c>
      <c r="F146" s="3">
        <v>9</v>
      </c>
      <c r="G146" s="73">
        <v>3</v>
      </c>
      <c r="H146" s="253">
        <f aca="true" t="shared" si="151" ref="H146:H151">$K$8</f>
        <v>1586.22</v>
      </c>
      <c r="I146" s="253">
        <f t="shared" si="113"/>
        <v>1491.39</v>
      </c>
      <c r="J146" s="56">
        <f t="shared" si="83"/>
        <v>4474.17</v>
      </c>
      <c r="K146" s="76">
        <f t="shared" si="131"/>
        <v>4758.66</v>
      </c>
      <c r="L146" s="79">
        <f t="shared" si="149"/>
        <v>-284.4899999999998</v>
      </c>
      <c r="M146" s="77">
        <f t="shared" si="133"/>
        <v>-8.061615034132263</v>
      </c>
      <c r="N146" s="78">
        <f t="shared" si="150"/>
        <v>-292.55161503413206</v>
      </c>
      <c r="O146" s="16">
        <f t="shared" si="141"/>
        <v>0</v>
      </c>
      <c r="P146" s="16">
        <f t="shared" si="142"/>
        <v>0</v>
      </c>
      <c r="Q146" s="16">
        <f t="shared" si="143"/>
        <v>42</v>
      </c>
      <c r="R146" s="16">
        <f t="shared" si="144"/>
        <v>92</v>
      </c>
      <c r="S146" s="16">
        <f t="shared" si="145"/>
        <v>90</v>
      </c>
      <c r="T146" s="16">
        <f t="shared" si="145"/>
        <v>91</v>
      </c>
      <c r="U146" s="16">
        <f t="shared" si="145"/>
        <v>0</v>
      </c>
      <c r="V146" s="111">
        <f t="shared" si="146"/>
        <v>0</v>
      </c>
      <c r="W146" s="146">
        <f t="shared" si="147"/>
        <v>0</v>
      </c>
      <c r="X146" s="63">
        <f>($L146+SUM($W146:W146))*(P$11*P146)</f>
        <v>0</v>
      </c>
      <c r="Y146" s="63">
        <f>($L146+SUM($W146:X146))*(Q$11*Q146)</f>
        <v>-1.0639146575342457</v>
      </c>
      <c r="Z146" s="63">
        <f>($L146+SUM($W146:Y146))*(R$11*R146)</f>
        <v>-2.339195081715142</v>
      </c>
      <c r="AA146" s="63">
        <f>($L146+SUM($W146:Z146))*(S$11*S146)</f>
        <v>-2.3070886191432978</v>
      </c>
      <c r="AB146" s="63">
        <f>($L146+SUM($W146:AA146))*(T$11*T146)</f>
        <v>-2.3514166757395776</v>
      </c>
      <c r="AC146" s="63">
        <f>($L146+SUM($W146:AB146))*(U$11*U146)</f>
        <v>0</v>
      </c>
      <c r="AD146" s="63">
        <f>($L146+SUM($W146:AC146))*(V$11*V146)</f>
        <v>0</v>
      </c>
      <c r="AE146" s="115">
        <f t="shared" si="148"/>
        <v>-8.061615034132263</v>
      </c>
    </row>
    <row r="147" spans="1:31" ht="12.75">
      <c r="A147" s="3">
        <v>8</v>
      </c>
      <c r="B147" s="15">
        <f t="shared" si="82"/>
        <v>41487</v>
      </c>
      <c r="C147" s="249">
        <f t="shared" si="129"/>
        <v>41522</v>
      </c>
      <c r="D147" s="249">
        <f t="shared" si="129"/>
        <v>41537</v>
      </c>
      <c r="E147" s="30" t="s">
        <v>141</v>
      </c>
      <c r="F147" s="3">
        <v>9</v>
      </c>
      <c r="G147" s="73">
        <v>3</v>
      </c>
      <c r="H147" s="253">
        <f t="shared" si="151"/>
        <v>1586.22</v>
      </c>
      <c r="I147" s="253">
        <f t="shared" si="113"/>
        <v>1491.39</v>
      </c>
      <c r="J147" s="56">
        <f t="shared" si="83"/>
        <v>4474.17</v>
      </c>
      <c r="K147" s="76">
        <f t="shared" si="131"/>
        <v>4758.66</v>
      </c>
      <c r="L147" s="79">
        <f t="shared" si="149"/>
        <v>-284.4899999999998</v>
      </c>
      <c r="M147" s="77">
        <f t="shared" si="133"/>
        <v>-7.257101087257185</v>
      </c>
      <c r="N147" s="78">
        <f t="shared" si="150"/>
        <v>-291.74710108725697</v>
      </c>
      <c r="O147" s="16">
        <f t="shared" si="141"/>
        <v>0</v>
      </c>
      <c r="P147" s="16">
        <f t="shared" si="142"/>
        <v>0</v>
      </c>
      <c r="Q147" s="16">
        <f t="shared" si="143"/>
        <v>11</v>
      </c>
      <c r="R147" s="16">
        <f t="shared" si="144"/>
        <v>92</v>
      </c>
      <c r="S147" s="16">
        <f t="shared" si="145"/>
        <v>90</v>
      </c>
      <c r="T147" s="16">
        <f t="shared" si="145"/>
        <v>91</v>
      </c>
      <c r="U147" s="16">
        <f t="shared" si="145"/>
        <v>0</v>
      </c>
      <c r="V147" s="111">
        <f t="shared" si="146"/>
        <v>0</v>
      </c>
      <c r="W147" s="146">
        <f t="shared" si="147"/>
        <v>0</v>
      </c>
      <c r="X147" s="63">
        <f>($L147+SUM($W147:W147))*(P$11*P147)</f>
        <v>0</v>
      </c>
      <c r="Y147" s="63">
        <f>($L147+SUM($W147:X147))*(Q$11*Q147)</f>
        <v>-0.2786443150684929</v>
      </c>
      <c r="Z147" s="63">
        <f>($L147+SUM($W147:Y147))*(R$11*R147)</f>
        <v>-2.33276231918371</v>
      </c>
      <c r="AA147" s="63">
        <f>($L147+SUM($W147:Z147))*(S$11*S147)</f>
        <v>-2.3007441490553067</v>
      </c>
      <c r="AB147" s="63">
        <f>($L147+SUM($W147:AA147))*(T$11*T147)</f>
        <v>-2.344950303949675</v>
      </c>
      <c r="AC147" s="63">
        <f>($L147+SUM($W147:AB147))*(U$11*U147)</f>
        <v>0</v>
      </c>
      <c r="AD147" s="63">
        <f>($L147+SUM($W147:AC147))*(V$11*V147)</f>
        <v>0</v>
      </c>
      <c r="AE147" s="115">
        <f t="shared" si="148"/>
        <v>-7.257101087257185</v>
      </c>
    </row>
    <row r="148" spans="1:31" ht="12.75">
      <c r="A148" s="3">
        <v>9</v>
      </c>
      <c r="B148" s="15">
        <f t="shared" si="82"/>
        <v>41518</v>
      </c>
      <c r="C148" s="249">
        <f t="shared" si="129"/>
        <v>41550</v>
      </c>
      <c r="D148" s="249">
        <f t="shared" si="129"/>
        <v>41565</v>
      </c>
      <c r="E148" s="30" t="s">
        <v>141</v>
      </c>
      <c r="F148" s="3">
        <v>9</v>
      </c>
      <c r="G148" s="73">
        <v>3</v>
      </c>
      <c r="H148" s="253">
        <f t="shared" si="151"/>
        <v>1586.22</v>
      </c>
      <c r="I148" s="253">
        <f aca="true" t="shared" si="152" ref="I148:I179">$J$3</f>
        <v>1491.39</v>
      </c>
      <c r="J148" s="56">
        <f t="shared" si="83"/>
        <v>4474.17</v>
      </c>
      <c r="K148" s="76">
        <f t="shared" si="131"/>
        <v>4758.66</v>
      </c>
      <c r="L148" s="79">
        <f t="shared" si="149"/>
        <v>-284.4899999999998</v>
      </c>
      <c r="M148" s="77">
        <f t="shared" si="133"/>
        <v>-6.534028054874991</v>
      </c>
      <c r="N148" s="78">
        <f t="shared" si="150"/>
        <v>-291.02402805487475</v>
      </c>
      <c r="O148" s="16">
        <f t="shared" si="141"/>
        <v>0</v>
      </c>
      <c r="P148" s="16">
        <f t="shared" si="142"/>
        <v>0</v>
      </c>
      <c r="Q148" s="16">
        <f t="shared" si="143"/>
        <v>0</v>
      </c>
      <c r="R148" s="16">
        <f t="shared" si="144"/>
        <v>75</v>
      </c>
      <c r="S148" s="16">
        <f t="shared" si="145"/>
        <v>90</v>
      </c>
      <c r="T148" s="16">
        <f t="shared" si="145"/>
        <v>91</v>
      </c>
      <c r="U148" s="16">
        <f t="shared" si="145"/>
        <v>0</v>
      </c>
      <c r="V148" s="111">
        <f t="shared" si="146"/>
        <v>0</v>
      </c>
      <c r="W148" s="146">
        <f t="shared" si="147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-1.8998476027397246</v>
      </c>
      <c r="AA148" s="63">
        <f>($L148+SUM($W148:Z148))*(S$11*S148)</f>
        <v>-2.2950419294192135</v>
      </c>
      <c r="AB148" s="63">
        <f>($L148+SUM($W148:AA148))*(T$11*T148)</f>
        <v>-2.3391385227160533</v>
      </c>
      <c r="AC148" s="63">
        <f>($L148+SUM($W148:AB148))*(U$11*U148)</f>
        <v>0</v>
      </c>
      <c r="AD148" s="63">
        <f>($L148+SUM($W148:AC148))*(V$11*V148)</f>
        <v>0</v>
      </c>
      <c r="AE148" s="115">
        <f t="shared" si="148"/>
        <v>-6.534028054874991</v>
      </c>
    </row>
    <row r="149" spans="1:31" ht="12.75">
      <c r="A149" s="16">
        <v>10</v>
      </c>
      <c r="B149" s="15">
        <f aca="true" t="shared" si="153" ref="B149:B211">DATE($N$1,A149,1)</f>
        <v>41548</v>
      </c>
      <c r="C149" s="249">
        <f t="shared" si="129"/>
        <v>41583</v>
      </c>
      <c r="D149" s="249">
        <f t="shared" si="129"/>
        <v>41598</v>
      </c>
      <c r="E149" s="30" t="s">
        <v>141</v>
      </c>
      <c r="F149" s="3">
        <v>9</v>
      </c>
      <c r="G149" s="73">
        <v>1</v>
      </c>
      <c r="H149" s="253">
        <f t="shared" si="151"/>
        <v>1586.22</v>
      </c>
      <c r="I149" s="253">
        <f t="shared" si="152"/>
        <v>1491.39</v>
      </c>
      <c r="J149" s="56">
        <f aca="true" t="shared" si="154" ref="J149:J211">+$G149*I149</f>
        <v>1491.39</v>
      </c>
      <c r="K149" s="76">
        <f t="shared" si="131"/>
        <v>1586.22</v>
      </c>
      <c r="L149" s="79">
        <f t="shared" si="149"/>
        <v>-94.82999999999993</v>
      </c>
      <c r="M149" s="77">
        <f t="shared" si="133"/>
        <v>-1.8948561894419926</v>
      </c>
      <c r="N149" s="78">
        <f t="shared" si="150"/>
        <v>-96.72485618944192</v>
      </c>
      <c r="O149" s="16">
        <f t="shared" si="141"/>
        <v>0</v>
      </c>
      <c r="P149" s="16">
        <f t="shared" si="142"/>
        <v>0</v>
      </c>
      <c r="Q149" s="16">
        <f t="shared" si="143"/>
        <v>0</v>
      </c>
      <c r="R149" s="16">
        <f t="shared" si="144"/>
        <v>42</v>
      </c>
      <c r="S149" s="16">
        <f t="shared" si="145"/>
        <v>90</v>
      </c>
      <c r="T149" s="16">
        <f t="shared" si="145"/>
        <v>91</v>
      </c>
      <c r="U149" s="16">
        <f t="shared" si="145"/>
        <v>0</v>
      </c>
      <c r="V149" s="111">
        <f t="shared" si="146"/>
        <v>0</v>
      </c>
      <c r="W149" s="146">
        <f t="shared" si="147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-0.3546382191780819</v>
      </c>
      <c r="AA149" s="63">
        <f>($L149+SUM($W149:Z149))*(S$11*S149)</f>
        <v>-0.7627810049071114</v>
      </c>
      <c r="AB149" s="63">
        <f>($L149+SUM($W149:AA149))*(T$11*T149)</f>
        <v>-0.7774369653567993</v>
      </c>
      <c r="AC149" s="63">
        <f>($L149+SUM($W149:AB149))*(U$11*U149)</f>
        <v>0</v>
      </c>
      <c r="AD149" s="63">
        <f>($L149+SUM($W149:AC149))*(V$11*V149)</f>
        <v>0</v>
      </c>
      <c r="AE149" s="115">
        <f t="shared" si="148"/>
        <v>-1.8948561894419926</v>
      </c>
    </row>
    <row r="150" spans="1:31" ht="12.75">
      <c r="A150" s="3">
        <v>11</v>
      </c>
      <c r="B150" s="15">
        <f t="shared" si="153"/>
        <v>41579</v>
      </c>
      <c r="C150" s="249">
        <f t="shared" si="129"/>
        <v>41612</v>
      </c>
      <c r="D150" s="249">
        <f t="shared" si="129"/>
        <v>41627</v>
      </c>
      <c r="E150" s="30" t="s">
        <v>141</v>
      </c>
      <c r="F150" s="3">
        <v>9</v>
      </c>
      <c r="G150" s="73">
        <v>2</v>
      </c>
      <c r="H150" s="253">
        <f t="shared" si="151"/>
        <v>1586.22</v>
      </c>
      <c r="I150" s="253">
        <f t="shared" si="152"/>
        <v>1491.39</v>
      </c>
      <c r="J150" s="56">
        <f t="shared" si="154"/>
        <v>2982.78</v>
      </c>
      <c r="K150" s="76">
        <f t="shared" si="131"/>
        <v>3172.44</v>
      </c>
      <c r="L150" s="79">
        <f t="shared" si="149"/>
        <v>-189.65999999999985</v>
      </c>
      <c r="M150" s="77">
        <f t="shared" si="133"/>
        <v>-3.2920492453502197</v>
      </c>
      <c r="N150" s="78">
        <f t="shared" si="150"/>
        <v>-192.95204924535008</v>
      </c>
      <c r="O150" s="16">
        <f t="shared" si="136"/>
        <v>0</v>
      </c>
      <c r="P150" s="16">
        <f t="shared" si="137"/>
        <v>0</v>
      </c>
      <c r="Q150" s="16">
        <f t="shared" si="138"/>
        <v>0</v>
      </c>
      <c r="R150" s="16">
        <f t="shared" si="139"/>
        <v>13</v>
      </c>
      <c r="S150" s="16">
        <f aca="true" t="shared" si="155" ref="S150:U154">IF($D150&lt;S$8,S$12,IF($D150&lt;T$8,T$8-$D150,0))</f>
        <v>90</v>
      </c>
      <c r="T150" s="16">
        <f t="shared" si="155"/>
        <v>91</v>
      </c>
      <c r="U150" s="16">
        <f t="shared" si="155"/>
        <v>0</v>
      </c>
      <c r="V150" s="111">
        <f t="shared" si="125"/>
        <v>0</v>
      </c>
      <c r="W150" s="146">
        <f t="shared" si="126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-0.21953794520547926</v>
      </c>
      <c r="AA150" s="63">
        <f>($L150+SUM($W150:Z150))*(S$11*S150)</f>
        <v>-1.5216373931225358</v>
      </c>
      <c r="AB150" s="63">
        <f>($L150+SUM($W150:AA150))*(T$11*T150)</f>
        <v>-1.5508739070222046</v>
      </c>
      <c r="AC150" s="63">
        <f>($L150+SUM($W150:AB150))*(U$11*U150)</f>
        <v>0</v>
      </c>
      <c r="AD150" s="63">
        <f>($L150+SUM($W150:AC150))*(V$11*V150)</f>
        <v>0</v>
      </c>
      <c r="AE150" s="115">
        <f aca="true" t="shared" si="156" ref="AE150:AE163">SUM(W150:AD150)</f>
        <v>-3.2920492453502197</v>
      </c>
    </row>
    <row r="151" spans="1:31" s="70" customFormat="1" ht="12.75">
      <c r="A151" s="3">
        <v>12</v>
      </c>
      <c r="B151" s="87">
        <f t="shared" si="153"/>
        <v>41609</v>
      </c>
      <c r="C151" s="249">
        <f t="shared" si="129"/>
        <v>41280</v>
      </c>
      <c r="D151" s="249">
        <f t="shared" si="129"/>
        <v>41295</v>
      </c>
      <c r="E151" s="88" t="s">
        <v>141</v>
      </c>
      <c r="F151" s="84">
        <v>9</v>
      </c>
      <c r="G151" s="89">
        <v>2</v>
      </c>
      <c r="H151" s="254">
        <f t="shared" si="151"/>
        <v>1586.22</v>
      </c>
      <c r="I151" s="254">
        <f t="shared" si="152"/>
        <v>1491.39</v>
      </c>
      <c r="J151" s="90">
        <f t="shared" si="154"/>
        <v>2982.78</v>
      </c>
      <c r="K151" s="91">
        <f t="shared" si="131"/>
        <v>3172.44</v>
      </c>
      <c r="L151" s="92">
        <f t="shared" si="149"/>
        <v>-189.65999999999985</v>
      </c>
      <c r="M151" s="93">
        <f t="shared" si="133"/>
        <v>-9.057712156517095</v>
      </c>
      <c r="N151" s="94">
        <f t="shared" si="150"/>
        <v>-198.71771215651694</v>
      </c>
      <c r="O151" s="84">
        <f t="shared" si="136"/>
        <v>70</v>
      </c>
      <c r="P151" s="84">
        <f t="shared" si="137"/>
        <v>91</v>
      </c>
      <c r="Q151" s="84">
        <f t="shared" si="138"/>
        <v>92</v>
      </c>
      <c r="R151" s="84">
        <f t="shared" si="139"/>
        <v>92</v>
      </c>
      <c r="S151" s="84">
        <f t="shared" si="155"/>
        <v>90</v>
      </c>
      <c r="T151" s="84">
        <f t="shared" si="155"/>
        <v>91</v>
      </c>
      <c r="U151" s="84">
        <f t="shared" si="155"/>
        <v>0</v>
      </c>
      <c r="V151" s="112">
        <f t="shared" si="125"/>
        <v>0</v>
      </c>
      <c r="W151" s="147">
        <f t="shared" si="126"/>
        <v>-1.182127397260273</v>
      </c>
      <c r="X151" s="95">
        <f>($L151+SUM($W151:W151))*(P$11*P151)</f>
        <v>-1.5463440870613612</v>
      </c>
      <c r="Y151" s="95">
        <f>($L151+SUM($W151:X151))*(Q$11*Q151)</f>
        <v>-1.5760041910633458</v>
      </c>
      <c r="Z151" s="95">
        <f>($L151+SUM($W151:Y151))*(R$11*R151)</f>
        <v>-1.5889144719709607</v>
      </c>
      <c r="AA151" s="95">
        <f>($L151+SUM($W151:Z151))*(S$11*S151)</f>
        <v>-1.5671059347425087</v>
      </c>
      <c r="AB151" s="95">
        <f>($L151+SUM($W151:AA151))*(T$11*T151)</f>
        <v>-1.5972160744186459</v>
      </c>
      <c r="AC151" s="95">
        <f>($L151+SUM($W151:AB151))*(U$11*U151)</f>
        <v>0</v>
      </c>
      <c r="AD151" s="95">
        <f>($L151+SUM($W151:AC151))*(V$11*V151)</f>
        <v>0</v>
      </c>
      <c r="AE151" s="116">
        <f t="shared" si="156"/>
        <v>-9.057712156517095</v>
      </c>
    </row>
    <row r="152" spans="1:31" ht="12.75">
      <c r="A152" s="16">
        <v>1</v>
      </c>
      <c r="B152" s="15">
        <f t="shared" si="153"/>
        <v>41275</v>
      </c>
      <c r="C152" s="248">
        <f aca="true" t="shared" si="157" ref="C152:D171">+C140</f>
        <v>41310</v>
      </c>
      <c r="D152" s="248">
        <f t="shared" si="157"/>
        <v>41325</v>
      </c>
      <c r="E152" s="122" t="s">
        <v>221</v>
      </c>
      <c r="F152" s="16">
        <v>9</v>
      </c>
      <c r="G152" s="73">
        <v>90</v>
      </c>
      <c r="H152" s="253">
        <f aca="true" t="shared" si="158" ref="H152:H157">$K$3</f>
        <v>1446.51</v>
      </c>
      <c r="I152" s="253">
        <f t="shared" si="152"/>
        <v>1491.39</v>
      </c>
      <c r="J152" s="56">
        <f t="shared" si="154"/>
        <v>134225.1</v>
      </c>
      <c r="K152" s="57">
        <f t="shared" si="131"/>
        <v>130185.9</v>
      </c>
      <c r="L152" s="58">
        <f t="shared" si="149"/>
        <v>4039.2000000000116</v>
      </c>
      <c r="M152" s="55">
        <f t="shared" si="133"/>
        <v>181.66771430267457</v>
      </c>
      <c r="N152" s="29">
        <f t="shared" si="150"/>
        <v>4220.867714302686</v>
      </c>
      <c r="O152" s="16">
        <f t="shared" si="136"/>
        <v>40</v>
      </c>
      <c r="P152" s="16">
        <f t="shared" si="137"/>
        <v>91</v>
      </c>
      <c r="Q152" s="16">
        <f t="shared" si="138"/>
        <v>92</v>
      </c>
      <c r="R152" s="16">
        <f t="shared" si="139"/>
        <v>92</v>
      </c>
      <c r="S152" s="16">
        <f t="shared" si="155"/>
        <v>90</v>
      </c>
      <c r="T152" s="16">
        <f t="shared" si="155"/>
        <v>91</v>
      </c>
      <c r="U152" s="16">
        <f t="shared" si="155"/>
        <v>0</v>
      </c>
      <c r="V152" s="111">
        <f aca="true" t="shared" si="159" ref="V152:V159">IF(W$8&lt;V$8,0,IF($D152&lt;V$8,V$12,IF($D152&lt;W$8,W$8-$D152,0)))</f>
        <v>0</v>
      </c>
      <c r="W152" s="146">
        <f aca="true" t="shared" si="160" ref="W152:W159">$L152*O$11*O152</f>
        <v>14.38619178082196</v>
      </c>
      <c r="X152" s="63">
        <f>($L152+SUM($W152:W152))*(P$11*P152)</f>
        <v>32.845153869018674</v>
      </c>
      <c r="Y152" s="63">
        <f>($L152+SUM($W152:X152))*(Q$11*Q152)</f>
        <v>33.47514992737824</v>
      </c>
      <c r="Z152" s="63">
        <f>($L152+SUM($W152:Y152))*(R$11*R152)</f>
        <v>33.749371018564155</v>
      </c>
      <c r="AA152" s="63">
        <f>($L152+SUM($W152:Z152))*(S$11*S152)</f>
        <v>33.28614632819917</v>
      </c>
      <c r="AB152" s="63">
        <f>($L152+SUM($W152:AA152))*(T$11*T152)</f>
        <v>33.92570137869236</v>
      </c>
      <c r="AC152" s="63">
        <f>($L152+SUM($W152:AB152))*(U$11*U152)</f>
        <v>0</v>
      </c>
      <c r="AD152" s="63">
        <f>($L152+SUM($W152:AC152))*(V$11*V152)</f>
        <v>0</v>
      </c>
      <c r="AE152" s="115">
        <f t="shared" si="156"/>
        <v>181.66771430267457</v>
      </c>
    </row>
    <row r="153" spans="1:31" ht="12.75">
      <c r="A153" s="3">
        <v>2</v>
      </c>
      <c r="B153" s="15">
        <f t="shared" si="153"/>
        <v>41306</v>
      </c>
      <c r="C153" s="249">
        <f t="shared" si="157"/>
        <v>41338</v>
      </c>
      <c r="D153" s="249">
        <f t="shared" si="157"/>
        <v>41353</v>
      </c>
      <c r="E153" s="153" t="s">
        <v>221</v>
      </c>
      <c r="F153" s="3">
        <v>9</v>
      </c>
      <c r="G153" s="73">
        <v>87</v>
      </c>
      <c r="H153" s="253">
        <f t="shared" si="158"/>
        <v>1446.51</v>
      </c>
      <c r="I153" s="253">
        <f t="shared" si="152"/>
        <v>1491.39</v>
      </c>
      <c r="J153" s="56">
        <f t="shared" si="154"/>
        <v>129750.93000000001</v>
      </c>
      <c r="K153" s="57">
        <f t="shared" si="131"/>
        <v>125846.37</v>
      </c>
      <c r="L153" s="58">
        <f t="shared" si="149"/>
        <v>3904.560000000012</v>
      </c>
      <c r="M153" s="55">
        <f t="shared" si="133"/>
        <v>165.4757420823163</v>
      </c>
      <c r="N153" s="29">
        <f t="shared" si="150"/>
        <v>4070.0357420823284</v>
      </c>
      <c r="O153" s="16">
        <f t="shared" si="136"/>
        <v>12</v>
      </c>
      <c r="P153" s="16">
        <f t="shared" si="137"/>
        <v>91</v>
      </c>
      <c r="Q153" s="16">
        <f t="shared" si="138"/>
        <v>92</v>
      </c>
      <c r="R153" s="16">
        <f t="shared" si="139"/>
        <v>92</v>
      </c>
      <c r="S153" s="16">
        <f t="shared" si="155"/>
        <v>90</v>
      </c>
      <c r="T153" s="16">
        <f t="shared" si="155"/>
        <v>91</v>
      </c>
      <c r="U153" s="16">
        <f t="shared" si="155"/>
        <v>0</v>
      </c>
      <c r="V153" s="111">
        <f t="shared" si="159"/>
        <v>0</v>
      </c>
      <c r="W153" s="146">
        <f t="shared" si="160"/>
        <v>4.17199561643837</v>
      </c>
      <c r="X153" s="63">
        <f>($L153+SUM($W153:W153))*(P$11*P153)</f>
        <v>31.67143801927576</v>
      </c>
      <c r="Y153" s="63">
        <f>($L153+SUM($W153:X153))*(Q$11*Q153)</f>
        <v>32.27892127827622</v>
      </c>
      <c r="Z153" s="63">
        <f>($L153+SUM($W153:Y153))*(R$11*R153)</f>
        <v>32.5433431265558</v>
      </c>
      <c r="AA153" s="63">
        <f>($L153+SUM($W153:Z153))*(S$11*S153)</f>
        <v>32.096671689777075</v>
      </c>
      <c r="AB153" s="63">
        <f>($L153+SUM($W153:AA153))*(T$11*T153)</f>
        <v>32.713372351993065</v>
      </c>
      <c r="AC153" s="63">
        <f>($L153+SUM($W153:AB153))*(U$11*U153)</f>
        <v>0</v>
      </c>
      <c r="AD153" s="63">
        <f>($L153+SUM($W153:AC153))*(V$11*V153)</f>
        <v>0</v>
      </c>
      <c r="AE153" s="115">
        <f t="shared" si="156"/>
        <v>165.4757420823163</v>
      </c>
    </row>
    <row r="154" spans="1:31" ht="12.75">
      <c r="A154" s="3">
        <v>3</v>
      </c>
      <c r="B154" s="15">
        <f t="shared" si="153"/>
        <v>41334</v>
      </c>
      <c r="C154" s="249">
        <f t="shared" si="157"/>
        <v>41367</v>
      </c>
      <c r="D154" s="249">
        <f t="shared" si="157"/>
        <v>41382</v>
      </c>
      <c r="E154" s="153" t="s">
        <v>221</v>
      </c>
      <c r="F154" s="3">
        <v>9</v>
      </c>
      <c r="G154" s="73">
        <v>93</v>
      </c>
      <c r="H154" s="253">
        <f t="shared" si="158"/>
        <v>1446.51</v>
      </c>
      <c r="I154" s="253">
        <f t="shared" si="152"/>
        <v>1491.39</v>
      </c>
      <c r="J154" s="56">
        <f t="shared" si="154"/>
        <v>138699.27000000002</v>
      </c>
      <c r="K154" s="57">
        <f t="shared" si="131"/>
        <v>134525.43</v>
      </c>
      <c r="L154" s="58">
        <f>+J154-K154</f>
        <v>4173.840000000026</v>
      </c>
      <c r="M154" s="55">
        <f t="shared" si="133"/>
        <v>165.71831631708184</v>
      </c>
      <c r="N154" s="29">
        <f>SUM(L154:M154)</f>
        <v>4339.558316317108</v>
      </c>
      <c r="O154" s="16">
        <f t="shared" si="136"/>
        <v>0</v>
      </c>
      <c r="P154" s="16">
        <f t="shared" si="137"/>
        <v>74</v>
      </c>
      <c r="Q154" s="16">
        <f t="shared" si="138"/>
        <v>92</v>
      </c>
      <c r="R154" s="16">
        <f t="shared" si="139"/>
        <v>92</v>
      </c>
      <c r="S154" s="16">
        <f t="shared" si="155"/>
        <v>90</v>
      </c>
      <c r="T154" s="16">
        <f t="shared" si="155"/>
        <v>91</v>
      </c>
      <c r="U154" s="16">
        <f t="shared" si="155"/>
        <v>0</v>
      </c>
      <c r="V154" s="111">
        <f>IF(W$8&lt;V$8,0,IF($D154&lt;V$8,V$12,IF($D154&lt;W$8,W$8-$D154,0)))</f>
        <v>0</v>
      </c>
      <c r="W154" s="146">
        <f>$L154*O$11*O154</f>
        <v>0</v>
      </c>
      <c r="X154" s="63">
        <f>($L154+SUM($W154:W154))*(P$11*P154)</f>
        <v>27.5016032876714</v>
      </c>
      <c r="Y154" s="63">
        <f>($L154+SUM($W154:X154))*(Q$11*Q154)</f>
        <v>34.416469572137565</v>
      </c>
      <c r="Z154" s="63">
        <f>($L154+SUM($W154:Y154))*(R$11*R154)</f>
        <v>34.69840174753673</v>
      </c>
      <c r="AA154" s="63">
        <f>($L154+SUM($W154:Z154))*(S$11*S154)</f>
        <v>34.22215120062071</v>
      </c>
      <c r="AB154" s="63">
        <f>($L154+SUM($W154:AA154))*(T$11*T154)</f>
        <v>34.87969050911544</v>
      </c>
      <c r="AC154" s="63">
        <f>($L154+SUM($W154:AB154))*(U$11*U154)</f>
        <v>0</v>
      </c>
      <c r="AD154" s="63">
        <f>($L154+SUM($W154:AC154))*(V$11*V154)</f>
        <v>0</v>
      </c>
      <c r="AE154" s="115">
        <f t="shared" si="156"/>
        <v>165.71831631708184</v>
      </c>
    </row>
    <row r="155" spans="1:31" ht="12.75">
      <c r="A155" s="16">
        <v>4</v>
      </c>
      <c r="B155" s="15">
        <f t="shared" si="153"/>
        <v>41365</v>
      </c>
      <c r="C155" s="249">
        <f t="shared" si="157"/>
        <v>41397</v>
      </c>
      <c r="D155" s="249">
        <f t="shared" si="157"/>
        <v>41414</v>
      </c>
      <c r="E155" s="153" t="s">
        <v>221</v>
      </c>
      <c r="F155" s="3">
        <v>9</v>
      </c>
      <c r="G155" s="73">
        <v>88</v>
      </c>
      <c r="H155" s="253">
        <f t="shared" si="158"/>
        <v>1446.51</v>
      </c>
      <c r="I155" s="253">
        <f t="shared" si="152"/>
        <v>1491.39</v>
      </c>
      <c r="J155" s="56">
        <f t="shared" si="154"/>
        <v>131242.32</v>
      </c>
      <c r="K155" s="57">
        <f t="shared" si="131"/>
        <v>127292.88</v>
      </c>
      <c r="L155" s="58">
        <f aca="true" t="shared" si="161" ref="L155:L165">+J155-K155</f>
        <v>3949.4400000000023</v>
      </c>
      <c r="M155" s="55">
        <f t="shared" si="133"/>
        <v>145.18532015987884</v>
      </c>
      <c r="N155" s="29">
        <f aca="true" t="shared" si="162" ref="N155:N165">SUM(L155:M155)</f>
        <v>4094.625320159881</v>
      </c>
      <c r="O155" s="16">
        <f aca="true" t="shared" si="163" ref="O155:U159">IF($D155&lt;O$8,O$12,IF($D155&lt;P$8,P$8-$D155,0))</f>
        <v>0</v>
      </c>
      <c r="P155" s="16">
        <f t="shared" si="163"/>
        <v>42</v>
      </c>
      <c r="Q155" s="16">
        <f t="shared" si="163"/>
        <v>92</v>
      </c>
      <c r="R155" s="16">
        <f t="shared" si="163"/>
        <v>92</v>
      </c>
      <c r="S155" s="16">
        <f t="shared" si="163"/>
        <v>90</v>
      </c>
      <c r="T155" s="16">
        <f t="shared" si="163"/>
        <v>91</v>
      </c>
      <c r="U155" s="16">
        <f t="shared" si="163"/>
        <v>0</v>
      </c>
      <c r="V155" s="111">
        <f t="shared" si="159"/>
        <v>0</v>
      </c>
      <c r="W155" s="146">
        <f t="shared" si="160"/>
        <v>0</v>
      </c>
      <c r="X155" s="63">
        <f>($L155+SUM($W155:W155))*(P$11*P155)</f>
        <v>14.769823561643845</v>
      </c>
      <c r="Y155" s="63">
        <f>($L155+SUM($W155:X155))*(Q$11*Q155)</f>
        <v>32.47393800671047</v>
      </c>
      <c r="Z155" s="63">
        <f>($L155+SUM($W155:Y155))*(R$11*R155)</f>
        <v>32.73995738928598</v>
      </c>
      <c r="AA155" s="63">
        <f>($L155+SUM($W155:Z155))*(S$11*S155)</f>
        <v>32.29058733685234</v>
      </c>
      <c r="AB155" s="63">
        <f>($L155+SUM($W155:AA155))*(T$11*T155)</f>
        <v>32.91101386538622</v>
      </c>
      <c r="AC155" s="63">
        <f>($L155+SUM($W155:AB155))*(U$11*U155)</f>
        <v>0</v>
      </c>
      <c r="AD155" s="63">
        <f>($L155+SUM($W155:AC155))*(V$11*V155)</f>
        <v>0</v>
      </c>
      <c r="AE155" s="115">
        <f t="shared" si="156"/>
        <v>145.18532015987884</v>
      </c>
    </row>
    <row r="156" spans="1:31" ht="12.75">
      <c r="A156" s="3">
        <v>5</v>
      </c>
      <c r="B156" s="15">
        <f t="shared" si="153"/>
        <v>41395</v>
      </c>
      <c r="C156" s="249">
        <f t="shared" si="157"/>
        <v>41430</v>
      </c>
      <c r="D156" s="249">
        <f t="shared" si="157"/>
        <v>41445</v>
      </c>
      <c r="E156" s="153" t="s">
        <v>221</v>
      </c>
      <c r="F156" s="3">
        <v>9</v>
      </c>
      <c r="G156" s="73">
        <v>103</v>
      </c>
      <c r="H156" s="253">
        <f t="shared" si="158"/>
        <v>1446.51</v>
      </c>
      <c r="I156" s="253">
        <f t="shared" si="152"/>
        <v>1491.39</v>
      </c>
      <c r="J156" s="56">
        <f t="shared" si="154"/>
        <v>153613.17</v>
      </c>
      <c r="K156" s="57">
        <f t="shared" si="131"/>
        <v>148990.53</v>
      </c>
      <c r="L156" s="58">
        <f t="shared" si="161"/>
        <v>4622.640000000014</v>
      </c>
      <c r="M156" s="55">
        <f t="shared" si="133"/>
        <v>156.75329172044786</v>
      </c>
      <c r="N156" s="29">
        <f t="shared" si="162"/>
        <v>4779.393291720462</v>
      </c>
      <c r="O156" s="16">
        <f t="shared" si="163"/>
        <v>0</v>
      </c>
      <c r="P156" s="16">
        <f t="shared" si="163"/>
        <v>11</v>
      </c>
      <c r="Q156" s="16">
        <f t="shared" si="163"/>
        <v>92</v>
      </c>
      <c r="R156" s="16">
        <f t="shared" si="163"/>
        <v>92</v>
      </c>
      <c r="S156" s="16">
        <f t="shared" si="163"/>
        <v>90</v>
      </c>
      <c r="T156" s="16">
        <f t="shared" si="163"/>
        <v>91</v>
      </c>
      <c r="U156" s="16">
        <f t="shared" si="163"/>
        <v>0</v>
      </c>
      <c r="V156" s="111">
        <f t="shared" si="159"/>
        <v>0</v>
      </c>
      <c r="W156" s="146">
        <f t="shared" si="160"/>
        <v>0</v>
      </c>
      <c r="X156" s="63">
        <f>($L156+SUM($W156:W156))*(P$11*P156)</f>
        <v>4.527654246575356</v>
      </c>
      <c r="Y156" s="63">
        <f>($L156+SUM($W156:X156))*(Q$11*Q156)</f>
        <v>37.90474324985562</v>
      </c>
      <c r="Z156" s="63">
        <f>($L156+SUM($W156:Y156))*(R$11*R156)</f>
        <v>38.215250598669506</v>
      </c>
      <c r="AA156" s="63">
        <f>($L156+SUM($W156:Z156))*(S$11*S156)</f>
        <v>37.69072978268002</v>
      </c>
      <c r="AB156" s="63">
        <f>($L156+SUM($W156:AA156))*(T$11*T156)</f>
        <v>38.41491384266734</v>
      </c>
      <c r="AC156" s="63">
        <f>($L156+SUM($W156:AB156))*(U$11*U156)</f>
        <v>0</v>
      </c>
      <c r="AD156" s="63">
        <f>($L156+SUM($W156:AC156))*(V$11*V156)</f>
        <v>0</v>
      </c>
      <c r="AE156" s="115">
        <f t="shared" si="156"/>
        <v>156.75329172044786</v>
      </c>
    </row>
    <row r="157" spans="1:31" ht="12.75">
      <c r="A157" s="3">
        <v>6</v>
      </c>
      <c r="B157" s="15">
        <f t="shared" si="153"/>
        <v>41426</v>
      </c>
      <c r="C157" s="249">
        <f t="shared" si="157"/>
        <v>41460</v>
      </c>
      <c r="D157" s="249">
        <f t="shared" si="157"/>
        <v>41477</v>
      </c>
      <c r="E157" s="153" t="s">
        <v>221</v>
      </c>
      <c r="F157" s="3">
        <v>9</v>
      </c>
      <c r="G157" s="73">
        <v>146</v>
      </c>
      <c r="H157" s="253">
        <f t="shared" si="158"/>
        <v>1446.51</v>
      </c>
      <c r="I157" s="253">
        <f t="shared" si="152"/>
        <v>1491.39</v>
      </c>
      <c r="J157" s="56">
        <f t="shared" si="154"/>
        <v>217742.94</v>
      </c>
      <c r="K157" s="57">
        <f t="shared" si="131"/>
        <v>211190.46</v>
      </c>
      <c r="L157" s="79">
        <f t="shared" si="161"/>
        <v>6552.4800000000105</v>
      </c>
      <c r="M157" s="80">
        <f t="shared" si="133"/>
        <v>203.01252093405003</v>
      </c>
      <c r="N157" s="78">
        <f t="shared" si="162"/>
        <v>6755.492520934061</v>
      </c>
      <c r="O157" s="16">
        <f t="shared" si="163"/>
        <v>0</v>
      </c>
      <c r="P157" s="16">
        <f t="shared" si="163"/>
        <v>0</v>
      </c>
      <c r="Q157" s="16">
        <f t="shared" si="163"/>
        <v>71</v>
      </c>
      <c r="R157" s="16">
        <f t="shared" si="163"/>
        <v>92</v>
      </c>
      <c r="S157" s="16">
        <f t="shared" si="163"/>
        <v>90</v>
      </c>
      <c r="T157" s="16">
        <f t="shared" si="163"/>
        <v>91</v>
      </c>
      <c r="U157" s="16">
        <f t="shared" si="163"/>
        <v>0</v>
      </c>
      <c r="V157" s="111">
        <f t="shared" si="159"/>
        <v>0</v>
      </c>
      <c r="W157" s="146">
        <f t="shared" si="160"/>
        <v>0</v>
      </c>
      <c r="X157" s="63">
        <f>($L157+SUM($W157:W157))*(P$11*P157)</f>
        <v>0</v>
      </c>
      <c r="Y157" s="63">
        <f>($L157+SUM($W157:X157))*(Q$11*Q157)</f>
        <v>41.42424000000007</v>
      </c>
      <c r="Z157" s="63">
        <f>($L157+SUM($W157:Y157))*(R$11*R157)</f>
        <v>54.015818294794606</v>
      </c>
      <c r="AA157" s="63">
        <f>($L157+SUM($W157:Z157))*(S$11*S157)</f>
        <v>53.27442786441727</v>
      </c>
      <c r="AB157" s="63">
        <f>($L157+SUM($W157:AA157))*(T$11*T157)</f>
        <v>54.29803477483809</v>
      </c>
      <c r="AC157" s="63">
        <f>($L157+SUM($W157:AB157))*(U$11*U157)</f>
        <v>0</v>
      </c>
      <c r="AD157" s="63">
        <f>($L157+SUM($W157:AC157))*(V$11*V157)</f>
        <v>0</v>
      </c>
      <c r="AE157" s="115">
        <f t="shared" si="156"/>
        <v>203.01252093405003</v>
      </c>
    </row>
    <row r="158" spans="1:31" ht="12.75">
      <c r="A158" s="16">
        <v>7</v>
      </c>
      <c r="B158" s="15">
        <f t="shared" si="153"/>
        <v>41456</v>
      </c>
      <c r="C158" s="249">
        <f t="shared" si="157"/>
        <v>41491</v>
      </c>
      <c r="D158" s="249">
        <f t="shared" si="157"/>
        <v>41506</v>
      </c>
      <c r="E158" s="153" t="s">
        <v>221</v>
      </c>
      <c r="F158" s="3">
        <v>9</v>
      </c>
      <c r="G158" s="73">
        <v>150</v>
      </c>
      <c r="H158" s="253">
        <f aca="true" t="shared" si="164" ref="H158:H163">$K$8</f>
        <v>1586.22</v>
      </c>
      <c r="I158" s="253">
        <f t="shared" si="152"/>
        <v>1491.39</v>
      </c>
      <c r="J158" s="56">
        <f t="shared" si="154"/>
        <v>223708.50000000003</v>
      </c>
      <c r="K158" s="76">
        <f t="shared" si="131"/>
        <v>237933</v>
      </c>
      <c r="L158" s="79">
        <f t="shared" si="161"/>
        <v>-14224.49999999997</v>
      </c>
      <c r="M158" s="77">
        <f t="shared" si="133"/>
        <v>-403.0807517066126</v>
      </c>
      <c r="N158" s="78">
        <f t="shared" si="162"/>
        <v>-14627.580751706584</v>
      </c>
      <c r="O158" s="16">
        <f t="shared" si="163"/>
        <v>0</v>
      </c>
      <c r="P158" s="16">
        <f t="shared" si="163"/>
        <v>0</v>
      </c>
      <c r="Q158" s="16">
        <f t="shared" si="163"/>
        <v>42</v>
      </c>
      <c r="R158" s="16">
        <f t="shared" si="163"/>
        <v>92</v>
      </c>
      <c r="S158" s="16">
        <f t="shared" si="163"/>
        <v>90</v>
      </c>
      <c r="T158" s="16">
        <f t="shared" si="163"/>
        <v>91</v>
      </c>
      <c r="U158" s="16">
        <f t="shared" si="163"/>
        <v>0</v>
      </c>
      <c r="V158" s="111">
        <f t="shared" si="159"/>
        <v>0</v>
      </c>
      <c r="W158" s="146">
        <f t="shared" si="160"/>
        <v>0</v>
      </c>
      <c r="X158" s="63">
        <f>($L158+SUM($W158:W158))*(P$11*P158)</f>
        <v>0</v>
      </c>
      <c r="Y158" s="63">
        <f>($L158+SUM($W158:X158))*(Q$11*Q158)</f>
        <v>-53.19573287671222</v>
      </c>
      <c r="Z158" s="63">
        <f>($L158+SUM($W158:Y158))*(R$11*R158)</f>
        <v>-116.95975408575693</v>
      </c>
      <c r="AA158" s="63">
        <f>($L158+SUM($W158:Z158))*(S$11*S158)</f>
        <v>-115.35443095716475</v>
      </c>
      <c r="AB158" s="63">
        <f>($L158+SUM($W158:AA158))*(T$11*T158)</f>
        <v>-117.57083378697871</v>
      </c>
      <c r="AC158" s="63">
        <f>($L158+SUM($W158:AB158))*(U$11*U158)</f>
        <v>0</v>
      </c>
      <c r="AD158" s="63">
        <f>($L158+SUM($W158:AC158))*(V$11*V158)</f>
        <v>0</v>
      </c>
      <c r="AE158" s="115">
        <f t="shared" si="156"/>
        <v>-403.0807517066126</v>
      </c>
    </row>
    <row r="159" spans="1:34" ht="12.75">
      <c r="A159" s="3">
        <v>8</v>
      </c>
      <c r="B159" s="15">
        <f t="shared" si="153"/>
        <v>41487</v>
      </c>
      <c r="C159" s="249">
        <f t="shared" si="157"/>
        <v>41522</v>
      </c>
      <c r="D159" s="249">
        <f t="shared" si="157"/>
        <v>41537</v>
      </c>
      <c r="E159" s="153" t="s">
        <v>221</v>
      </c>
      <c r="F159" s="16">
        <v>9</v>
      </c>
      <c r="G159" s="73">
        <v>135</v>
      </c>
      <c r="H159" s="253">
        <f t="shared" si="164"/>
        <v>1586.22</v>
      </c>
      <c r="I159" s="253">
        <f t="shared" si="152"/>
        <v>1491.39</v>
      </c>
      <c r="J159" s="56">
        <f t="shared" si="154"/>
        <v>201337.65000000002</v>
      </c>
      <c r="K159" s="76">
        <f t="shared" si="131"/>
        <v>214139.7</v>
      </c>
      <c r="L159" s="79">
        <f t="shared" si="161"/>
        <v>-12802.049999999988</v>
      </c>
      <c r="M159" s="77">
        <f t="shared" si="133"/>
        <v>-326.56954892657325</v>
      </c>
      <c r="N159" s="78">
        <f t="shared" si="162"/>
        <v>-13128.619548926561</v>
      </c>
      <c r="O159" s="16">
        <f t="shared" si="163"/>
        <v>0</v>
      </c>
      <c r="P159" s="16">
        <f t="shared" si="163"/>
        <v>0</v>
      </c>
      <c r="Q159" s="16">
        <f t="shared" si="163"/>
        <v>11</v>
      </c>
      <c r="R159" s="16">
        <f t="shared" si="163"/>
        <v>92</v>
      </c>
      <c r="S159" s="16">
        <f t="shared" si="163"/>
        <v>90</v>
      </c>
      <c r="T159" s="16">
        <f t="shared" si="163"/>
        <v>91</v>
      </c>
      <c r="U159" s="16">
        <f t="shared" si="163"/>
        <v>0</v>
      </c>
      <c r="V159" s="111">
        <f t="shared" si="159"/>
        <v>0</v>
      </c>
      <c r="W159" s="146">
        <f t="shared" si="160"/>
        <v>0</v>
      </c>
      <c r="X159" s="63">
        <f>($L159+SUM($W159:W159))*(P$11*P159)</f>
        <v>0</v>
      </c>
      <c r="Y159" s="63">
        <f>($L159+SUM($W159:X159))*(Q$11*Q159)</f>
        <v>-12.538994178082179</v>
      </c>
      <c r="Z159" s="63">
        <f>($L159+SUM($W159:Y159))*(R$11*R159)</f>
        <v>-104.97430436326691</v>
      </c>
      <c r="AA159" s="63">
        <f>($L159+SUM($W159:Z159))*(S$11*S159)</f>
        <v>-103.53348670748879</v>
      </c>
      <c r="AB159" s="63">
        <f>($L159+SUM($W159:AA159))*(T$11*T159)</f>
        <v>-105.52276367773536</v>
      </c>
      <c r="AC159" s="63">
        <f>($L159+SUM($W159:AB159))*(U$11*U159)</f>
        <v>0</v>
      </c>
      <c r="AD159" s="63">
        <f>($L159+SUM($W159:AC159))*(V$11*V159)</f>
        <v>0</v>
      </c>
      <c r="AE159" s="115">
        <f t="shared" si="156"/>
        <v>-326.56954892657325</v>
      </c>
      <c r="AF159" s="13"/>
      <c r="AG159" s="13"/>
      <c r="AH159" s="13"/>
    </row>
    <row r="160" spans="1:31" ht="12.75">
      <c r="A160" s="3">
        <v>9</v>
      </c>
      <c r="B160" s="15">
        <f t="shared" si="153"/>
        <v>41518</v>
      </c>
      <c r="C160" s="249">
        <f t="shared" si="157"/>
        <v>41550</v>
      </c>
      <c r="D160" s="249">
        <f t="shared" si="157"/>
        <v>41565</v>
      </c>
      <c r="E160" s="153" t="s">
        <v>221</v>
      </c>
      <c r="F160" s="16">
        <v>9</v>
      </c>
      <c r="G160" s="73">
        <v>125</v>
      </c>
      <c r="H160" s="253">
        <f t="shared" si="164"/>
        <v>1586.22</v>
      </c>
      <c r="I160" s="253">
        <f t="shared" si="152"/>
        <v>1491.39</v>
      </c>
      <c r="J160" s="56">
        <f t="shared" si="154"/>
        <v>186423.75</v>
      </c>
      <c r="K160" s="76">
        <f t="shared" si="131"/>
        <v>198277.5</v>
      </c>
      <c r="L160" s="79">
        <f t="shared" si="161"/>
        <v>-11853.75</v>
      </c>
      <c r="M160" s="77">
        <f t="shared" si="133"/>
        <v>-272.2511689531249</v>
      </c>
      <c r="N160" s="78">
        <f t="shared" si="162"/>
        <v>-12126.001168953126</v>
      </c>
      <c r="O160" s="16">
        <f aca="true" t="shared" si="165" ref="O160:U171">IF($D160&lt;O$8,O$12,IF($D160&lt;P$8,P$8-$D160,0))</f>
        <v>0</v>
      </c>
      <c r="P160" s="16">
        <f t="shared" si="165"/>
        <v>0</v>
      </c>
      <c r="Q160" s="16">
        <f t="shared" si="165"/>
        <v>0</v>
      </c>
      <c r="R160" s="16">
        <f t="shared" si="165"/>
        <v>75</v>
      </c>
      <c r="S160" s="16">
        <f t="shared" si="165"/>
        <v>90</v>
      </c>
      <c r="T160" s="16">
        <f t="shared" si="165"/>
        <v>91</v>
      </c>
      <c r="U160" s="16">
        <f t="shared" si="165"/>
        <v>0</v>
      </c>
      <c r="V160" s="111">
        <f>IF(W$8&lt;V$8,0,IF($D160&lt;V$8,V$12,IF($D160&lt;W$8,W$8-$D160,0)))</f>
        <v>0</v>
      </c>
      <c r="W160" s="146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-79.16031678082192</v>
      </c>
      <c r="AA160" s="63">
        <f>($L160+SUM($W160:Z160))*(S$11*S160)</f>
        <v>-95.62674705913398</v>
      </c>
      <c r="AB160" s="63">
        <f>($L160+SUM($W160:AA160))*(T$11*T160)</f>
        <v>-97.46410511316897</v>
      </c>
      <c r="AC160" s="63">
        <f>($L160+SUM($W160:AB160))*(U$11*U160)</f>
        <v>0</v>
      </c>
      <c r="AD160" s="63">
        <f>($L160+SUM($W160:AC160))*(V$11*V160)</f>
        <v>0</v>
      </c>
      <c r="AE160" s="115">
        <f t="shared" si="156"/>
        <v>-272.2511689531249</v>
      </c>
    </row>
    <row r="161" spans="1:31" ht="12.75">
      <c r="A161" s="16">
        <v>10</v>
      </c>
      <c r="B161" s="15">
        <f t="shared" si="153"/>
        <v>41548</v>
      </c>
      <c r="C161" s="249">
        <f t="shared" si="157"/>
        <v>41583</v>
      </c>
      <c r="D161" s="249">
        <f t="shared" si="157"/>
        <v>41598</v>
      </c>
      <c r="E161" s="153" t="s">
        <v>221</v>
      </c>
      <c r="F161" s="16">
        <v>9</v>
      </c>
      <c r="G161" s="73">
        <v>112</v>
      </c>
      <c r="H161" s="253">
        <f t="shared" si="164"/>
        <v>1586.22</v>
      </c>
      <c r="I161" s="253">
        <f t="shared" si="152"/>
        <v>1491.39</v>
      </c>
      <c r="J161" s="56">
        <f t="shared" si="154"/>
        <v>167035.68000000002</v>
      </c>
      <c r="K161" s="76">
        <f t="shared" si="131"/>
        <v>177656.64</v>
      </c>
      <c r="L161" s="79">
        <f t="shared" si="161"/>
        <v>-10620.959999999992</v>
      </c>
      <c r="M161" s="77">
        <f t="shared" si="133"/>
        <v>-212.2238932175032</v>
      </c>
      <c r="N161" s="78">
        <f t="shared" si="162"/>
        <v>-10833.183893217494</v>
      </c>
      <c r="O161" s="16">
        <f t="shared" si="165"/>
        <v>0</v>
      </c>
      <c r="P161" s="16">
        <f t="shared" si="165"/>
        <v>0</v>
      </c>
      <c r="Q161" s="16">
        <f t="shared" si="165"/>
        <v>0</v>
      </c>
      <c r="R161" s="16">
        <f t="shared" si="165"/>
        <v>42</v>
      </c>
      <c r="S161" s="16">
        <f t="shared" si="165"/>
        <v>90</v>
      </c>
      <c r="T161" s="16">
        <f t="shared" si="165"/>
        <v>91</v>
      </c>
      <c r="U161" s="16">
        <f t="shared" si="165"/>
        <v>0</v>
      </c>
      <c r="V161" s="111">
        <f>IF(W$8&lt;V$8,0,IF($D161&lt;V$8,V$12,IF($D161&lt;W$8,W$8-$D161,0)))</f>
        <v>0</v>
      </c>
      <c r="W161" s="146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-39.719480547945174</v>
      </c>
      <c r="AA161" s="63">
        <f>($L161+SUM($W161:Z161))*(S$11*S161)</f>
        <v>-85.43147254959648</v>
      </c>
      <c r="AB161" s="63">
        <f>($L161+SUM($W161:AA161))*(T$11*T161)</f>
        <v>-87.07294011996153</v>
      </c>
      <c r="AC161" s="63">
        <f>($L161+SUM($W161:AB161))*(U$11*U161)</f>
        <v>0</v>
      </c>
      <c r="AD161" s="63">
        <f>($L161+SUM($W161:AC161))*(V$11*V161)</f>
        <v>0</v>
      </c>
      <c r="AE161" s="115">
        <f t="shared" si="156"/>
        <v>-212.2238932175032</v>
      </c>
    </row>
    <row r="162" spans="1:31" ht="12.75">
      <c r="A162" s="3">
        <v>11</v>
      </c>
      <c r="B162" s="15">
        <f t="shared" si="153"/>
        <v>41579</v>
      </c>
      <c r="C162" s="249">
        <f t="shared" si="157"/>
        <v>41612</v>
      </c>
      <c r="D162" s="249">
        <f t="shared" si="157"/>
        <v>41627</v>
      </c>
      <c r="E162" s="153" t="s">
        <v>221</v>
      </c>
      <c r="F162" s="16">
        <v>9</v>
      </c>
      <c r="G162" s="73">
        <v>87</v>
      </c>
      <c r="H162" s="253">
        <f t="shared" si="164"/>
        <v>1586.22</v>
      </c>
      <c r="I162" s="253">
        <f t="shared" si="152"/>
        <v>1491.39</v>
      </c>
      <c r="J162" s="56">
        <f t="shared" si="154"/>
        <v>129750.93000000001</v>
      </c>
      <c r="K162" s="76">
        <f t="shared" si="131"/>
        <v>138001.14</v>
      </c>
      <c r="L162" s="79">
        <f t="shared" si="161"/>
        <v>-8250.210000000006</v>
      </c>
      <c r="M162" s="77">
        <f t="shared" si="133"/>
        <v>-143.2041421727348</v>
      </c>
      <c r="N162" s="78">
        <f t="shared" si="162"/>
        <v>-8393.414142172742</v>
      </c>
      <c r="O162" s="16">
        <f t="shared" si="165"/>
        <v>0</v>
      </c>
      <c r="P162" s="16">
        <f t="shared" si="165"/>
        <v>0</v>
      </c>
      <c r="Q162" s="16">
        <f t="shared" si="165"/>
        <v>0</v>
      </c>
      <c r="R162" s="16">
        <f t="shared" si="165"/>
        <v>13</v>
      </c>
      <c r="S162" s="16">
        <f t="shared" si="165"/>
        <v>90</v>
      </c>
      <c r="T162" s="16">
        <f t="shared" si="165"/>
        <v>91</v>
      </c>
      <c r="U162" s="16">
        <f t="shared" si="165"/>
        <v>0</v>
      </c>
      <c r="V162" s="111">
        <f>IF(W$8&lt;V$8,0,IF($D162&lt;V$8,V$12,IF($D162&lt;W$8,W$8-$D162,0)))</f>
        <v>0</v>
      </c>
      <c r="W162" s="146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-9.549900616438363</v>
      </c>
      <c r="AA162" s="63">
        <f>($L162+SUM($W162:Z162))*(S$11*S162)</f>
        <v>-66.19122660083042</v>
      </c>
      <c r="AB162" s="63">
        <f>($L162+SUM($W162:AA162))*(T$11*T162)</f>
        <v>-67.46301495546601</v>
      </c>
      <c r="AC162" s="63">
        <f>($L162+SUM($W162:AB162))*(U$11*U162)</f>
        <v>0</v>
      </c>
      <c r="AD162" s="63">
        <f>($L162+SUM($W162:AC162))*(V$11*V162)</f>
        <v>0</v>
      </c>
      <c r="AE162" s="115">
        <f t="shared" si="156"/>
        <v>-143.2041421727348</v>
      </c>
    </row>
    <row r="163" spans="1:31" s="70" customFormat="1" ht="12.75">
      <c r="A163" s="3">
        <v>12</v>
      </c>
      <c r="B163" s="87">
        <f t="shared" si="153"/>
        <v>41609</v>
      </c>
      <c r="C163" s="249">
        <f t="shared" si="157"/>
        <v>41280</v>
      </c>
      <c r="D163" s="249">
        <f t="shared" si="157"/>
        <v>41295</v>
      </c>
      <c r="E163" s="154" t="s">
        <v>221</v>
      </c>
      <c r="F163" s="84">
        <v>9</v>
      </c>
      <c r="G163" s="89">
        <v>90</v>
      </c>
      <c r="H163" s="254">
        <f t="shared" si="164"/>
        <v>1586.22</v>
      </c>
      <c r="I163" s="254">
        <f t="shared" si="152"/>
        <v>1491.39</v>
      </c>
      <c r="J163" s="90">
        <f t="shared" si="154"/>
        <v>134225.1</v>
      </c>
      <c r="K163" s="91">
        <f t="shared" si="131"/>
        <v>142759.8</v>
      </c>
      <c r="L163" s="92">
        <f t="shared" si="161"/>
        <v>-8534.699999999983</v>
      </c>
      <c r="M163" s="93">
        <f t="shared" si="133"/>
        <v>-407.5970470432688</v>
      </c>
      <c r="N163" s="94">
        <f t="shared" si="162"/>
        <v>-8942.297047043252</v>
      </c>
      <c r="O163" s="84">
        <f t="shared" si="165"/>
        <v>70</v>
      </c>
      <c r="P163" s="84">
        <f t="shared" si="165"/>
        <v>91</v>
      </c>
      <c r="Q163" s="84">
        <f t="shared" si="165"/>
        <v>92</v>
      </c>
      <c r="R163" s="84">
        <f t="shared" si="165"/>
        <v>92</v>
      </c>
      <c r="S163" s="84">
        <f t="shared" si="165"/>
        <v>90</v>
      </c>
      <c r="T163" s="84">
        <f t="shared" si="165"/>
        <v>91</v>
      </c>
      <c r="U163" s="84">
        <f t="shared" si="165"/>
        <v>0</v>
      </c>
      <c r="V163" s="112">
        <f>IF(W$8&lt;V$8,0,IF($D163&lt;V$8,V$12,IF($D163&lt;W$8,W$8-$D163,0)))</f>
        <v>0</v>
      </c>
      <c r="W163" s="147">
        <f>$L163*O$11*O163</f>
        <v>-53.19573287671222</v>
      </c>
      <c r="X163" s="95">
        <f>($L163+SUM($W163:W163))*(P$11*P163)</f>
        <v>-69.58548391776117</v>
      </c>
      <c r="Y163" s="95">
        <f>($L163+SUM($W163:X163))*(Q$11*Q163)</f>
        <v>-70.92018859785047</v>
      </c>
      <c r="Z163" s="95">
        <f>($L163+SUM($W163:Y163))*(R$11*R163)</f>
        <v>-71.50115123869313</v>
      </c>
      <c r="AA163" s="95">
        <f>($L163+SUM($W163:Z163))*(S$11*S163)</f>
        <v>-70.5197670634128</v>
      </c>
      <c r="AB163" s="95">
        <f>($L163+SUM($W163:AA163))*(T$11*T163)</f>
        <v>-71.87472334883897</v>
      </c>
      <c r="AC163" s="95">
        <f>($L163+SUM($W163:AB163))*(U$11*U163)</f>
        <v>0</v>
      </c>
      <c r="AD163" s="95">
        <f>($L163+SUM($W163:AC163))*(V$11*V163)</f>
        <v>0</v>
      </c>
      <c r="AE163" s="116">
        <f t="shared" si="156"/>
        <v>-407.5970470432688</v>
      </c>
    </row>
    <row r="164" spans="1:31" ht="12.75">
      <c r="A164" s="16">
        <v>1</v>
      </c>
      <c r="B164" s="15">
        <f t="shared" si="153"/>
        <v>41275</v>
      </c>
      <c r="C164" s="248">
        <f t="shared" si="157"/>
        <v>41310</v>
      </c>
      <c r="D164" s="248">
        <f t="shared" si="157"/>
        <v>41325</v>
      </c>
      <c r="E164" s="122" t="s">
        <v>222</v>
      </c>
      <c r="F164" s="16">
        <v>9</v>
      </c>
      <c r="G164" s="73">
        <v>13</v>
      </c>
      <c r="H164" s="253">
        <f aca="true" t="shared" si="166" ref="H164:H169">$K$3</f>
        <v>1446.51</v>
      </c>
      <c r="I164" s="253">
        <f t="shared" si="152"/>
        <v>1491.39</v>
      </c>
      <c r="J164" s="56">
        <f t="shared" si="154"/>
        <v>19388.07</v>
      </c>
      <c r="K164" s="57">
        <f t="shared" si="131"/>
        <v>18804.63</v>
      </c>
      <c r="L164" s="58">
        <f t="shared" si="161"/>
        <v>583.4399999999987</v>
      </c>
      <c r="M164" s="55">
        <f t="shared" si="133"/>
        <v>26.240892065941743</v>
      </c>
      <c r="N164" s="29">
        <f t="shared" si="162"/>
        <v>609.6808920659404</v>
      </c>
      <c r="O164" s="16">
        <f t="shared" si="165"/>
        <v>40</v>
      </c>
      <c r="P164" s="16">
        <f t="shared" si="165"/>
        <v>91</v>
      </c>
      <c r="Q164" s="16">
        <f t="shared" si="165"/>
        <v>92</v>
      </c>
      <c r="R164" s="16">
        <f t="shared" si="165"/>
        <v>92</v>
      </c>
      <c r="S164" s="16">
        <f t="shared" si="165"/>
        <v>90</v>
      </c>
      <c r="T164" s="16">
        <f t="shared" si="165"/>
        <v>91</v>
      </c>
      <c r="U164" s="16">
        <f t="shared" si="165"/>
        <v>0</v>
      </c>
      <c r="V164" s="111">
        <f aca="true" t="shared" si="167" ref="V164:V171">IF(W$8&lt;V$8,0,IF($D164&lt;V$8,V$12,IF($D164&lt;W$8,W$8-$D164,0)))</f>
        <v>0</v>
      </c>
      <c r="W164" s="146">
        <f aca="true" t="shared" si="168" ref="W164:W171">$L164*O$11*O164</f>
        <v>2.07800547945205</v>
      </c>
      <c r="X164" s="63">
        <f>($L164+SUM($W164:W164))*(P$11*P164)</f>
        <v>4.744300003302673</v>
      </c>
      <c r="Y164" s="63">
        <f>($L164+SUM($W164:X164))*(Q$11*Q164)</f>
        <v>4.835299433954609</v>
      </c>
      <c r="Z164" s="63">
        <f>($L164+SUM($W164:Y164))*(R$11*R164)</f>
        <v>4.874909147125909</v>
      </c>
      <c r="AA164" s="63">
        <f>($L164+SUM($W164:Z164))*(S$11*S164)</f>
        <v>4.807998914073189</v>
      </c>
      <c r="AB164" s="63">
        <f>($L164+SUM($W164:AA164))*(T$11*T164)</f>
        <v>4.900379088033317</v>
      </c>
      <c r="AC164" s="63">
        <f>($L164+SUM($W164:AB164))*(U$11*U164)</f>
        <v>0</v>
      </c>
      <c r="AD164" s="63">
        <f>($L164+SUM($W164:AC164))*(V$11*V164)</f>
        <v>0</v>
      </c>
      <c r="AE164" s="115">
        <f aca="true" t="shared" si="169" ref="AE164:AE175">SUM(W164:AD164)</f>
        <v>26.240892065941743</v>
      </c>
    </row>
    <row r="165" spans="1:31" ht="12.75">
      <c r="A165" s="3">
        <v>2</v>
      </c>
      <c r="B165" s="15">
        <f t="shared" si="153"/>
        <v>41306</v>
      </c>
      <c r="C165" s="249">
        <f t="shared" si="157"/>
        <v>41338</v>
      </c>
      <c r="D165" s="249">
        <f t="shared" si="157"/>
        <v>41353</v>
      </c>
      <c r="E165" s="153" t="s">
        <v>222</v>
      </c>
      <c r="F165" s="3">
        <v>9</v>
      </c>
      <c r="G165" s="73">
        <v>11</v>
      </c>
      <c r="H165" s="253">
        <f t="shared" si="166"/>
        <v>1446.51</v>
      </c>
      <c r="I165" s="253">
        <f t="shared" si="152"/>
        <v>1491.39</v>
      </c>
      <c r="J165" s="56">
        <f t="shared" si="154"/>
        <v>16405.29</v>
      </c>
      <c r="K165" s="57">
        <f t="shared" si="131"/>
        <v>15911.61</v>
      </c>
      <c r="L165" s="58">
        <f t="shared" si="161"/>
        <v>493.6800000000003</v>
      </c>
      <c r="M165" s="55">
        <f t="shared" si="133"/>
        <v>20.922220263281314</v>
      </c>
      <c r="N165" s="29">
        <f t="shared" si="162"/>
        <v>514.6022202632817</v>
      </c>
      <c r="O165" s="16">
        <f t="shared" si="165"/>
        <v>12</v>
      </c>
      <c r="P165" s="16">
        <f t="shared" si="165"/>
        <v>91</v>
      </c>
      <c r="Q165" s="16">
        <f t="shared" si="165"/>
        <v>92</v>
      </c>
      <c r="R165" s="16">
        <f t="shared" si="165"/>
        <v>92</v>
      </c>
      <c r="S165" s="16">
        <f t="shared" si="165"/>
        <v>90</v>
      </c>
      <c r="T165" s="16">
        <f t="shared" si="165"/>
        <v>91</v>
      </c>
      <c r="U165" s="16">
        <f t="shared" si="165"/>
        <v>0</v>
      </c>
      <c r="V165" s="111">
        <f t="shared" si="167"/>
        <v>0</v>
      </c>
      <c r="W165" s="146">
        <f t="shared" si="168"/>
        <v>0.5274936986301373</v>
      </c>
      <c r="X165" s="63">
        <f>($L165+SUM($W165:W165))*(P$11*P165)</f>
        <v>4.004434692092327</v>
      </c>
      <c r="Y165" s="63">
        <f>($L165+SUM($W165:X165))*(Q$11*Q165)</f>
        <v>4.08124292024181</v>
      </c>
      <c r="Z165" s="63">
        <f>($L165+SUM($W165:Y165))*(R$11*R165)</f>
        <v>4.114675567725436</v>
      </c>
      <c r="AA165" s="63">
        <f>($L165+SUM($W165:Z165))*(S$11*S165)</f>
        <v>4.058199868822379</v>
      </c>
      <c r="AB165" s="63">
        <f>($L165+SUM($W165:AA165))*(T$11*T165)</f>
        <v>4.136173515769227</v>
      </c>
      <c r="AC165" s="63">
        <f>($L165+SUM($W165:AB165))*(U$11*U165)</f>
        <v>0</v>
      </c>
      <c r="AD165" s="63">
        <f>($L165+SUM($W165:AC165))*(V$11*V165)</f>
        <v>0</v>
      </c>
      <c r="AE165" s="115">
        <f t="shared" si="169"/>
        <v>20.922220263281314</v>
      </c>
    </row>
    <row r="166" spans="1:31" ht="12.75">
      <c r="A166" s="3">
        <v>3</v>
      </c>
      <c r="B166" s="15">
        <f t="shared" si="153"/>
        <v>41334</v>
      </c>
      <c r="C166" s="249">
        <f t="shared" si="157"/>
        <v>41367</v>
      </c>
      <c r="D166" s="249">
        <f t="shared" si="157"/>
        <v>41382</v>
      </c>
      <c r="E166" s="153" t="s">
        <v>222</v>
      </c>
      <c r="F166" s="3">
        <v>9</v>
      </c>
      <c r="G166" s="73">
        <v>11</v>
      </c>
      <c r="H166" s="253">
        <f t="shared" si="166"/>
        <v>1446.51</v>
      </c>
      <c r="I166" s="253">
        <f t="shared" si="152"/>
        <v>1491.39</v>
      </c>
      <c r="J166" s="56">
        <f t="shared" si="154"/>
        <v>16405.29</v>
      </c>
      <c r="K166" s="57">
        <f t="shared" si="131"/>
        <v>15911.61</v>
      </c>
      <c r="L166" s="58">
        <f>+J166-K166</f>
        <v>493.6800000000003</v>
      </c>
      <c r="M166" s="55">
        <f t="shared" si="133"/>
        <v>19.601091177289142</v>
      </c>
      <c r="N166" s="29">
        <f>SUM(L166:M166)</f>
        <v>513.2810911772895</v>
      </c>
      <c r="O166" s="16">
        <f t="shared" si="165"/>
        <v>0</v>
      </c>
      <c r="P166" s="16">
        <f t="shared" si="165"/>
        <v>74</v>
      </c>
      <c r="Q166" s="16">
        <f t="shared" si="165"/>
        <v>92</v>
      </c>
      <c r="R166" s="16">
        <f t="shared" si="165"/>
        <v>92</v>
      </c>
      <c r="S166" s="16">
        <f t="shared" si="165"/>
        <v>90</v>
      </c>
      <c r="T166" s="16">
        <f t="shared" si="165"/>
        <v>91</v>
      </c>
      <c r="U166" s="16">
        <f t="shared" si="165"/>
        <v>0</v>
      </c>
      <c r="V166" s="111">
        <f t="shared" si="167"/>
        <v>0</v>
      </c>
      <c r="W166" s="146">
        <f t="shared" si="168"/>
        <v>0</v>
      </c>
      <c r="X166" s="63">
        <f>($L166+SUM($W166:W166))*(P$11*P166)</f>
        <v>3.25287780821918</v>
      </c>
      <c r="Y166" s="63">
        <f>($L166+SUM($W166:X166))*(Q$11*Q166)</f>
        <v>4.0707652182097975</v>
      </c>
      <c r="Z166" s="63">
        <f>($L166+SUM($W166:Y166))*(R$11*R166)</f>
        <v>4.104112034654858</v>
      </c>
      <c r="AA166" s="63">
        <f>($L166+SUM($W166:Z166))*(S$11*S166)</f>
        <v>4.0477813248045775</v>
      </c>
      <c r="AB166" s="63">
        <f>($L166+SUM($W166:AA166))*(T$11*T166)</f>
        <v>4.125554791400728</v>
      </c>
      <c r="AC166" s="63">
        <f>($L166+SUM($W166:AB166))*(U$11*U166)</f>
        <v>0</v>
      </c>
      <c r="AD166" s="63">
        <f>($L166+SUM($W166:AC166))*(V$11*V166)</f>
        <v>0</v>
      </c>
      <c r="AE166" s="115">
        <f t="shared" si="169"/>
        <v>19.601091177289142</v>
      </c>
    </row>
    <row r="167" spans="1:31" ht="12.75">
      <c r="A167" s="16">
        <v>4</v>
      </c>
      <c r="B167" s="15">
        <f t="shared" si="153"/>
        <v>41365</v>
      </c>
      <c r="C167" s="249">
        <f t="shared" si="157"/>
        <v>41397</v>
      </c>
      <c r="D167" s="249">
        <f t="shared" si="157"/>
        <v>41414</v>
      </c>
      <c r="E167" s="153" t="s">
        <v>222</v>
      </c>
      <c r="F167" s="3">
        <v>9</v>
      </c>
      <c r="G167" s="73">
        <v>13</v>
      </c>
      <c r="H167" s="253">
        <f t="shared" si="166"/>
        <v>1446.51</v>
      </c>
      <c r="I167" s="253">
        <f t="shared" si="152"/>
        <v>1491.39</v>
      </c>
      <c r="J167" s="56">
        <f t="shared" si="154"/>
        <v>19388.07</v>
      </c>
      <c r="K167" s="57">
        <f t="shared" si="131"/>
        <v>18804.63</v>
      </c>
      <c r="L167" s="58">
        <f aca="true" t="shared" si="170" ref="L167:L177">+J167-K167</f>
        <v>583.4399999999987</v>
      </c>
      <c r="M167" s="55">
        <f t="shared" si="133"/>
        <v>21.44783138725477</v>
      </c>
      <c r="N167" s="29">
        <f aca="true" t="shared" si="171" ref="N167:N177">SUM(L167:M167)</f>
        <v>604.8878313872534</v>
      </c>
      <c r="O167" s="16">
        <f t="shared" si="165"/>
        <v>0</v>
      </c>
      <c r="P167" s="16">
        <f t="shared" si="165"/>
        <v>42</v>
      </c>
      <c r="Q167" s="16">
        <f t="shared" si="165"/>
        <v>92</v>
      </c>
      <c r="R167" s="16">
        <f t="shared" si="165"/>
        <v>92</v>
      </c>
      <c r="S167" s="16">
        <f t="shared" si="165"/>
        <v>90</v>
      </c>
      <c r="T167" s="16">
        <f t="shared" si="165"/>
        <v>91</v>
      </c>
      <c r="U167" s="16">
        <f t="shared" si="165"/>
        <v>0</v>
      </c>
      <c r="V167" s="111">
        <f t="shared" si="167"/>
        <v>0</v>
      </c>
      <c r="W167" s="146">
        <f t="shared" si="168"/>
        <v>0</v>
      </c>
      <c r="X167" s="63">
        <f>($L167+SUM($W167:W167))*(P$11*P167)</f>
        <v>2.181905753424653</v>
      </c>
      <c r="Y167" s="63">
        <f>($L167+SUM($W167:X167))*(Q$11*Q167)</f>
        <v>4.797286296445851</v>
      </c>
      <c r="Z167" s="63">
        <f>($L167+SUM($W167:Y167))*(R$11*R167)</f>
        <v>4.836584614326325</v>
      </c>
      <c r="AA167" s="63">
        <f>($L167+SUM($W167:Z167))*(S$11*S167)</f>
        <v>4.770200402034991</v>
      </c>
      <c r="AB167" s="63">
        <f>($L167+SUM($W167:AA167))*(T$11*T167)</f>
        <v>4.861854321022951</v>
      </c>
      <c r="AC167" s="63">
        <f>($L167+SUM($W167:AB167))*(U$11*U167)</f>
        <v>0</v>
      </c>
      <c r="AD167" s="63">
        <f>($L167+SUM($W167:AC167))*(V$11*V167)</f>
        <v>0</v>
      </c>
      <c r="AE167" s="115">
        <f t="shared" si="169"/>
        <v>21.44783138725477</v>
      </c>
    </row>
    <row r="168" spans="1:31" ht="12.75">
      <c r="A168" s="3">
        <v>5</v>
      </c>
      <c r="B168" s="15">
        <f t="shared" si="153"/>
        <v>41395</v>
      </c>
      <c r="C168" s="249">
        <f t="shared" si="157"/>
        <v>41430</v>
      </c>
      <c r="D168" s="249">
        <f t="shared" si="157"/>
        <v>41445</v>
      </c>
      <c r="E168" s="153" t="s">
        <v>222</v>
      </c>
      <c r="F168" s="3">
        <v>9</v>
      </c>
      <c r="G168" s="73">
        <v>11</v>
      </c>
      <c r="H168" s="253">
        <f t="shared" si="166"/>
        <v>1446.51</v>
      </c>
      <c r="I168" s="253">
        <f t="shared" si="152"/>
        <v>1491.39</v>
      </c>
      <c r="J168" s="56">
        <f t="shared" si="154"/>
        <v>16405.29</v>
      </c>
      <c r="K168" s="57">
        <f t="shared" si="131"/>
        <v>15911.61</v>
      </c>
      <c r="L168" s="58">
        <f t="shared" si="170"/>
        <v>493.6800000000003</v>
      </c>
      <c r="M168" s="55">
        <f t="shared" si="133"/>
        <v>16.740642805096332</v>
      </c>
      <c r="N168" s="29">
        <f t="shared" si="171"/>
        <v>510.42064280509663</v>
      </c>
      <c r="O168" s="16">
        <f t="shared" si="165"/>
        <v>0</v>
      </c>
      <c r="P168" s="16">
        <f t="shared" si="165"/>
        <v>11</v>
      </c>
      <c r="Q168" s="16">
        <f t="shared" si="165"/>
        <v>92</v>
      </c>
      <c r="R168" s="16">
        <f t="shared" si="165"/>
        <v>92</v>
      </c>
      <c r="S168" s="16">
        <f t="shared" si="165"/>
        <v>90</v>
      </c>
      <c r="T168" s="16">
        <f t="shared" si="165"/>
        <v>91</v>
      </c>
      <c r="U168" s="16">
        <f t="shared" si="165"/>
        <v>0</v>
      </c>
      <c r="V168" s="111">
        <f t="shared" si="167"/>
        <v>0</v>
      </c>
      <c r="W168" s="146">
        <f t="shared" si="168"/>
        <v>0</v>
      </c>
      <c r="X168" s="63">
        <f>($L168+SUM($W168:W168))*(P$11*P168)</f>
        <v>0.4835358904109592</v>
      </c>
      <c r="Y168" s="63">
        <f>($L168+SUM($W168:X168))*(Q$11*Q168)</f>
        <v>4.048079376198163</v>
      </c>
      <c r="Z168" s="63">
        <f>($L168+SUM($W168:Y168))*(R$11*R168)</f>
        <v>4.0812403551977035</v>
      </c>
      <c r="AA168" s="63">
        <f>($L168+SUM($W168:Z168))*(S$11*S168)</f>
        <v>4.02522356902407</v>
      </c>
      <c r="AB168" s="63">
        <f>($L168+SUM($W168:AA168))*(T$11*T168)</f>
        <v>4.102563614265434</v>
      </c>
      <c r="AC168" s="63">
        <f>($L168+SUM($W168:AB168))*(U$11*U168)</f>
        <v>0</v>
      </c>
      <c r="AD168" s="63">
        <f>($L168+SUM($W168:AC168))*(V$11*V168)</f>
        <v>0</v>
      </c>
      <c r="AE168" s="115">
        <f t="shared" si="169"/>
        <v>16.740642805096332</v>
      </c>
    </row>
    <row r="169" spans="1:31" ht="12.75">
      <c r="A169" s="3">
        <v>6</v>
      </c>
      <c r="B169" s="15">
        <f t="shared" si="153"/>
        <v>41426</v>
      </c>
      <c r="C169" s="249">
        <f t="shared" si="157"/>
        <v>41460</v>
      </c>
      <c r="D169" s="249">
        <f t="shared" si="157"/>
        <v>41477</v>
      </c>
      <c r="E169" s="153" t="s">
        <v>222</v>
      </c>
      <c r="F169" s="3">
        <v>9</v>
      </c>
      <c r="G169" s="73">
        <v>16</v>
      </c>
      <c r="H169" s="253">
        <f t="shared" si="166"/>
        <v>1446.51</v>
      </c>
      <c r="I169" s="253">
        <f t="shared" si="152"/>
        <v>1491.39</v>
      </c>
      <c r="J169" s="56">
        <f t="shared" si="154"/>
        <v>23862.24</v>
      </c>
      <c r="K169" s="57">
        <f t="shared" si="131"/>
        <v>23144.16</v>
      </c>
      <c r="L169" s="79">
        <f t="shared" si="170"/>
        <v>718.0800000000017</v>
      </c>
      <c r="M169" s="80">
        <f t="shared" si="133"/>
        <v>22.247947499621937</v>
      </c>
      <c r="N169" s="78">
        <f t="shared" si="171"/>
        <v>740.3279474996236</v>
      </c>
      <c r="O169" s="16">
        <f t="shared" si="165"/>
        <v>0</v>
      </c>
      <c r="P169" s="16">
        <f t="shared" si="165"/>
        <v>0</v>
      </c>
      <c r="Q169" s="16">
        <f t="shared" si="165"/>
        <v>71</v>
      </c>
      <c r="R169" s="16">
        <f t="shared" si="165"/>
        <v>92</v>
      </c>
      <c r="S169" s="16">
        <f t="shared" si="165"/>
        <v>90</v>
      </c>
      <c r="T169" s="16">
        <f t="shared" si="165"/>
        <v>91</v>
      </c>
      <c r="U169" s="16">
        <f t="shared" si="165"/>
        <v>0</v>
      </c>
      <c r="V169" s="111">
        <f t="shared" si="167"/>
        <v>0</v>
      </c>
      <c r="W169" s="146">
        <f t="shared" si="168"/>
        <v>0</v>
      </c>
      <c r="X169" s="63">
        <f>($L169+SUM($W169:W169))*(P$11*P169)</f>
        <v>0</v>
      </c>
      <c r="Y169" s="63">
        <f>($L169+SUM($W169:X169))*(Q$11*Q169)</f>
        <v>4.539642739726038</v>
      </c>
      <c r="Z169" s="63">
        <f>($L169+SUM($W169:Y169))*(R$11*R169)</f>
        <v>5.919541730936399</v>
      </c>
      <c r="AA169" s="63">
        <f>($L169+SUM($W169:Z169))*(S$11*S169)</f>
        <v>5.838293464593678</v>
      </c>
      <c r="AB169" s="63">
        <f>($L169+SUM($W169:AA169))*(T$11*T169)</f>
        <v>5.9504695643658225</v>
      </c>
      <c r="AC169" s="63">
        <f>($L169+SUM($W169:AB169))*(U$11*U169)</f>
        <v>0</v>
      </c>
      <c r="AD169" s="63">
        <f>($L169+SUM($W169:AC169))*(V$11*V169)</f>
        <v>0</v>
      </c>
      <c r="AE169" s="115">
        <f t="shared" si="169"/>
        <v>22.247947499621937</v>
      </c>
    </row>
    <row r="170" spans="1:31" ht="12.75">
      <c r="A170" s="16">
        <v>7</v>
      </c>
      <c r="B170" s="15">
        <f t="shared" si="153"/>
        <v>41456</v>
      </c>
      <c r="C170" s="249">
        <f t="shared" si="157"/>
        <v>41491</v>
      </c>
      <c r="D170" s="249">
        <f t="shared" si="157"/>
        <v>41506</v>
      </c>
      <c r="E170" s="153" t="s">
        <v>222</v>
      </c>
      <c r="F170" s="3">
        <v>9</v>
      </c>
      <c r="G170" s="73">
        <v>16</v>
      </c>
      <c r="H170" s="253">
        <f aca="true" t="shared" si="172" ref="H170:H175">$K$8</f>
        <v>1586.22</v>
      </c>
      <c r="I170" s="253">
        <f t="shared" si="152"/>
        <v>1491.39</v>
      </c>
      <c r="J170" s="56">
        <f t="shared" si="154"/>
        <v>23862.24</v>
      </c>
      <c r="K170" s="76">
        <f t="shared" si="131"/>
        <v>25379.52</v>
      </c>
      <c r="L170" s="79">
        <f t="shared" si="170"/>
        <v>-1517.2799999999988</v>
      </c>
      <c r="M170" s="77">
        <f t="shared" si="133"/>
        <v>-42.995280182038734</v>
      </c>
      <c r="N170" s="78">
        <f t="shared" si="171"/>
        <v>-1560.2752801820375</v>
      </c>
      <c r="O170" s="16">
        <f t="shared" si="165"/>
        <v>0</v>
      </c>
      <c r="P170" s="16">
        <f t="shared" si="165"/>
        <v>0</v>
      </c>
      <c r="Q170" s="16">
        <f t="shared" si="165"/>
        <v>42</v>
      </c>
      <c r="R170" s="16">
        <f t="shared" si="165"/>
        <v>92</v>
      </c>
      <c r="S170" s="16">
        <f t="shared" si="165"/>
        <v>90</v>
      </c>
      <c r="T170" s="16">
        <f t="shared" si="165"/>
        <v>91</v>
      </c>
      <c r="U170" s="16">
        <f t="shared" si="165"/>
        <v>0</v>
      </c>
      <c r="V170" s="111">
        <f t="shared" si="167"/>
        <v>0</v>
      </c>
      <c r="W170" s="146">
        <f t="shared" si="168"/>
        <v>0</v>
      </c>
      <c r="X170" s="63">
        <f>($L170+SUM($W170:W170))*(P$11*P170)</f>
        <v>0</v>
      </c>
      <c r="Y170" s="63">
        <f>($L170+SUM($W170:X170))*(Q$11*Q170)</f>
        <v>-5.674211506849311</v>
      </c>
      <c r="Z170" s="63">
        <f>($L170+SUM($W170:Y170))*(R$11*R170)</f>
        <v>-12.475707102480754</v>
      </c>
      <c r="AA170" s="63">
        <f>($L170+SUM($W170:Z170))*(S$11*S170)</f>
        <v>-12.304472635430923</v>
      </c>
      <c r="AB170" s="63">
        <f>($L170+SUM($W170:AA170))*(T$11*T170)</f>
        <v>-12.540888937277746</v>
      </c>
      <c r="AC170" s="63">
        <f>($L170+SUM($W170:AB170))*(U$11*U170)</f>
        <v>0</v>
      </c>
      <c r="AD170" s="63">
        <f>($L170+SUM($W170:AC170))*(V$11*V170)</f>
        <v>0</v>
      </c>
      <c r="AE170" s="115">
        <f t="shared" si="169"/>
        <v>-42.995280182038734</v>
      </c>
    </row>
    <row r="171" spans="1:34" ht="12.75">
      <c r="A171" s="3">
        <v>8</v>
      </c>
      <c r="B171" s="15">
        <f t="shared" si="153"/>
        <v>41487</v>
      </c>
      <c r="C171" s="249">
        <f t="shared" si="157"/>
        <v>41522</v>
      </c>
      <c r="D171" s="249">
        <f t="shared" si="157"/>
        <v>41537</v>
      </c>
      <c r="E171" s="153" t="s">
        <v>222</v>
      </c>
      <c r="F171" s="16">
        <v>9</v>
      </c>
      <c r="G171" s="73">
        <v>18</v>
      </c>
      <c r="H171" s="253">
        <f t="shared" si="172"/>
        <v>1586.22</v>
      </c>
      <c r="I171" s="253">
        <f t="shared" si="152"/>
        <v>1491.39</v>
      </c>
      <c r="J171" s="56">
        <f t="shared" si="154"/>
        <v>26845.02</v>
      </c>
      <c r="K171" s="76">
        <f t="shared" si="131"/>
        <v>28551.96</v>
      </c>
      <c r="L171" s="79">
        <f t="shared" si="170"/>
        <v>-1706.9399999999987</v>
      </c>
      <c r="M171" s="77">
        <f t="shared" si="133"/>
        <v>-43.54260652354311</v>
      </c>
      <c r="N171" s="78">
        <f t="shared" si="171"/>
        <v>-1750.4826065235418</v>
      </c>
      <c r="O171" s="16">
        <f t="shared" si="165"/>
        <v>0</v>
      </c>
      <c r="P171" s="16">
        <f t="shared" si="165"/>
        <v>0</v>
      </c>
      <c r="Q171" s="16">
        <f t="shared" si="165"/>
        <v>11</v>
      </c>
      <c r="R171" s="16">
        <f t="shared" si="165"/>
        <v>92</v>
      </c>
      <c r="S171" s="16">
        <f t="shared" si="165"/>
        <v>90</v>
      </c>
      <c r="T171" s="16">
        <f t="shared" si="165"/>
        <v>91</v>
      </c>
      <c r="U171" s="16">
        <f t="shared" si="165"/>
        <v>0</v>
      </c>
      <c r="V171" s="111">
        <f t="shared" si="167"/>
        <v>0</v>
      </c>
      <c r="W171" s="146">
        <f t="shared" si="168"/>
        <v>0</v>
      </c>
      <c r="X171" s="63">
        <f>($L171+SUM($W171:W171))*(P$11*P171)</f>
        <v>0</v>
      </c>
      <c r="Y171" s="63">
        <f>($L171+SUM($W171:X171))*(Q$11*Q171)</f>
        <v>-1.6718658904109576</v>
      </c>
      <c r="Z171" s="63">
        <f>($L171+SUM($W171:Y171))*(R$11*R171)</f>
        <v>-13.996573915102259</v>
      </c>
      <c r="AA171" s="63">
        <f>($L171+SUM($W171:Z171))*(S$11*S171)</f>
        <v>-13.80446489433184</v>
      </c>
      <c r="AB171" s="63">
        <f>($L171+SUM($W171:AA171))*(T$11*T171)</f>
        <v>-14.069701823698049</v>
      </c>
      <c r="AC171" s="63">
        <f>($L171+SUM($W171:AB171))*(U$11*U171)</f>
        <v>0</v>
      </c>
      <c r="AD171" s="63">
        <f>($L171+SUM($W171:AC171))*(V$11*V171)</f>
        <v>0</v>
      </c>
      <c r="AE171" s="115">
        <f t="shared" si="169"/>
        <v>-43.54260652354311</v>
      </c>
      <c r="AF171" s="13"/>
      <c r="AG171" s="13"/>
      <c r="AH171" s="13"/>
    </row>
    <row r="172" spans="1:31" ht="12.75">
      <c r="A172" s="3">
        <v>9</v>
      </c>
      <c r="B172" s="15">
        <f t="shared" si="153"/>
        <v>41518</v>
      </c>
      <c r="C172" s="249">
        <f aca="true" t="shared" si="173" ref="C172:D175">+C160</f>
        <v>41550</v>
      </c>
      <c r="D172" s="249">
        <f t="shared" si="173"/>
        <v>41565</v>
      </c>
      <c r="E172" s="153" t="s">
        <v>222</v>
      </c>
      <c r="F172" s="16">
        <v>9</v>
      </c>
      <c r="G172" s="73">
        <v>12</v>
      </c>
      <c r="H172" s="253">
        <f t="shared" si="172"/>
        <v>1586.22</v>
      </c>
      <c r="I172" s="253">
        <f t="shared" si="152"/>
        <v>1491.39</v>
      </c>
      <c r="J172" s="56">
        <f t="shared" si="154"/>
        <v>17896.68</v>
      </c>
      <c r="K172" s="76">
        <f t="shared" si="131"/>
        <v>19034.64</v>
      </c>
      <c r="L172" s="79">
        <f t="shared" si="170"/>
        <v>-1137.9599999999991</v>
      </c>
      <c r="M172" s="77">
        <f t="shared" si="133"/>
        <v>-26.136112219499964</v>
      </c>
      <c r="N172" s="78">
        <f t="shared" si="171"/>
        <v>-1164.096112219499</v>
      </c>
      <c r="O172" s="16">
        <f aca="true" t="shared" si="174" ref="O172:R175">IF($D172&lt;O$8,O$12,IF($D172&lt;P$8,P$8-$D172,0))</f>
        <v>0</v>
      </c>
      <c r="P172" s="16">
        <f t="shared" si="174"/>
        <v>0</v>
      </c>
      <c r="Q172" s="16">
        <f t="shared" si="174"/>
        <v>0</v>
      </c>
      <c r="R172" s="16">
        <f t="shared" si="174"/>
        <v>75</v>
      </c>
      <c r="S172" s="16">
        <f aca="true" t="shared" si="175" ref="S172:U175">IF($D172&lt;S$8,S$12,IF($D172&lt;T$8,T$8-$D172,0))</f>
        <v>90</v>
      </c>
      <c r="T172" s="16">
        <f t="shared" si="175"/>
        <v>91</v>
      </c>
      <c r="U172" s="16">
        <f t="shared" si="175"/>
        <v>0</v>
      </c>
      <c r="V172" s="111">
        <f>IF(W$8&lt;V$8,0,IF($D172&lt;V$8,V$12,IF($D172&lt;W$8,W$8-$D172,0)))</f>
        <v>0</v>
      </c>
      <c r="W172" s="146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-7.599390410958899</v>
      </c>
      <c r="AA172" s="63">
        <f>($L172+SUM($W172:Z172))*(S$11*S172)</f>
        <v>-9.180167717676854</v>
      </c>
      <c r="AB172" s="63">
        <f>($L172+SUM($W172:AA172))*(T$11*T172)</f>
        <v>-9.356554090864213</v>
      </c>
      <c r="AC172" s="63">
        <f>($L172+SUM($W172:AB172))*(U$11*U172)</f>
        <v>0</v>
      </c>
      <c r="AD172" s="63">
        <f>($L172+SUM($W172:AC172))*(V$11*V172)</f>
        <v>0</v>
      </c>
      <c r="AE172" s="115">
        <f t="shared" si="169"/>
        <v>-26.136112219499964</v>
      </c>
    </row>
    <row r="173" spans="1:31" ht="12.75">
      <c r="A173" s="16">
        <v>10</v>
      </c>
      <c r="B173" s="15">
        <f t="shared" si="153"/>
        <v>41548</v>
      </c>
      <c r="C173" s="249">
        <f t="shared" si="173"/>
        <v>41583</v>
      </c>
      <c r="D173" s="249">
        <f t="shared" si="173"/>
        <v>41598</v>
      </c>
      <c r="E173" s="153" t="s">
        <v>222</v>
      </c>
      <c r="F173" s="16">
        <v>9</v>
      </c>
      <c r="G173" s="73">
        <v>12</v>
      </c>
      <c r="H173" s="253">
        <f t="shared" si="172"/>
        <v>1586.22</v>
      </c>
      <c r="I173" s="253">
        <f t="shared" si="152"/>
        <v>1491.39</v>
      </c>
      <c r="J173" s="56">
        <f t="shared" si="154"/>
        <v>17896.68</v>
      </c>
      <c r="K173" s="76">
        <f t="shared" si="131"/>
        <v>19034.64</v>
      </c>
      <c r="L173" s="79">
        <f t="shared" si="170"/>
        <v>-1137.9599999999991</v>
      </c>
      <c r="M173" s="77">
        <f t="shared" si="133"/>
        <v>-22.73827427330391</v>
      </c>
      <c r="N173" s="78">
        <f t="shared" si="171"/>
        <v>-1160.698274273303</v>
      </c>
      <c r="O173" s="16">
        <f t="shared" si="174"/>
        <v>0</v>
      </c>
      <c r="P173" s="16">
        <f t="shared" si="174"/>
        <v>0</v>
      </c>
      <c r="Q173" s="16">
        <f t="shared" si="174"/>
        <v>0</v>
      </c>
      <c r="R173" s="16">
        <f t="shared" si="174"/>
        <v>42</v>
      </c>
      <c r="S173" s="16">
        <f t="shared" si="175"/>
        <v>90</v>
      </c>
      <c r="T173" s="16">
        <f t="shared" si="175"/>
        <v>91</v>
      </c>
      <c r="U173" s="16">
        <f t="shared" si="175"/>
        <v>0</v>
      </c>
      <c r="V173" s="111">
        <f>IF(W$8&lt;V$8,0,IF($D173&lt;V$8,V$12,IF($D173&lt;W$8,W$8-$D173,0)))</f>
        <v>0</v>
      </c>
      <c r="W173" s="146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-4.255658630136983</v>
      </c>
      <c r="AA173" s="63">
        <f>($L173+SUM($W173:Z173))*(S$11*S173)</f>
        <v>-9.153372058885337</v>
      </c>
      <c r="AB173" s="63">
        <f>($L173+SUM($W173:AA173))*(T$11*T173)</f>
        <v>-9.329243584281592</v>
      </c>
      <c r="AC173" s="63">
        <f>($L173+SUM($W173:AB173))*(U$11*U173)</f>
        <v>0</v>
      </c>
      <c r="AD173" s="63">
        <f>($L173+SUM($W173:AC173))*(V$11*V173)</f>
        <v>0</v>
      </c>
      <c r="AE173" s="115">
        <f t="shared" si="169"/>
        <v>-22.73827427330391</v>
      </c>
    </row>
    <row r="174" spans="1:31" ht="12.75">
      <c r="A174" s="3">
        <v>11</v>
      </c>
      <c r="B174" s="15">
        <f t="shared" si="153"/>
        <v>41579</v>
      </c>
      <c r="C174" s="249">
        <f t="shared" si="173"/>
        <v>41612</v>
      </c>
      <c r="D174" s="249">
        <f t="shared" si="173"/>
        <v>41627</v>
      </c>
      <c r="E174" s="153" t="s">
        <v>222</v>
      </c>
      <c r="F174" s="16">
        <v>9</v>
      </c>
      <c r="G174" s="73">
        <v>7</v>
      </c>
      <c r="H174" s="253">
        <f t="shared" si="172"/>
        <v>1586.22</v>
      </c>
      <c r="I174" s="253">
        <f t="shared" si="152"/>
        <v>1491.39</v>
      </c>
      <c r="J174" s="56">
        <f t="shared" si="154"/>
        <v>10439.730000000001</v>
      </c>
      <c r="K174" s="76">
        <f t="shared" si="131"/>
        <v>11103.54</v>
      </c>
      <c r="L174" s="79">
        <f t="shared" si="170"/>
        <v>-663.8099999999995</v>
      </c>
      <c r="M174" s="77">
        <f t="shared" si="133"/>
        <v>-11.522172358725769</v>
      </c>
      <c r="N174" s="78">
        <f t="shared" si="171"/>
        <v>-675.3321723587253</v>
      </c>
      <c r="O174" s="16">
        <f t="shared" si="174"/>
        <v>0</v>
      </c>
      <c r="P174" s="16">
        <f t="shared" si="174"/>
        <v>0</v>
      </c>
      <c r="Q174" s="16">
        <f t="shared" si="174"/>
        <v>0</v>
      </c>
      <c r="R174" s="16">
        <f t="shared" si="174"/>
        <v>13</v>
      </c>
      <c r="S174" s="16">
        <f t="shared" si="175"/>
        <v>90</v>
      </c>
      <c r="T174" s="16">
        <f t="shared" si="175"/>
        <v>91</v>
      </c>
      <c r="U174" s="16">
        <f t="shared" si="175"/>
        <v>0</v>
      </c>
      <c r="V174" s="111">
        <f>IF(W$8&lt;V$8,0,IF($D174&lt;V$8,V$12,IF($D174&lt;W$8,W$8-$D174,0)))</f>
        <v>0</v>
      </c>
      <c r="W174" s="146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-0.7683828082191775</v>
      </c>
      <c r="AA174" s="63">
        <f>($L174+SUM($W174:Z174))*(S$11*S174)</f>
        <v>-5.325730875928875</v>
      </c>
      <c r="AB174" s="63">
        <f>($L174+SUM($W174:AA174))*(T$11*T174)</f>
        <v>-5.428058674577716</v>
      </c>
      <c r="AC174" s="63">
        <f>($L174+SUM($W174:AB174))*(U$11*U174)</f>
        <v>0</v>
      </c>
      <c r="AD174" s="63">
        <f>($L174+SUM($W174:AC174))*(V$11*V174)</f>
        <v>0</v>
      </c>
      <c r="AE174" s="115">
        <f t="shared" si="169"/>
        <v>-11.522172358725769</v>
      </c>
    </row>
    <row r="175" spans="1:31" s="70" customFormat="1" ht="12.75">
      <c r="A175" s="3">
        <v>12</v>
      </c>
      <c r="B175" s="87">
        <f t="shared" si="153"/>
        <v>41609</v>
      </c>
      <c r="C175" s="249">
        <f t="shared" si="173"/>
        <v>41280</v>
      </c>
      <c r="D175" s="249">
        <f t="shared" si="173"/>
        <v>41295</v>
      </c>
      <c r="E175" s="154" t="s">
        <v>222</v>
      </c>
      <c r="F175" s="84">
        <v>9</v>
      </c>
      <c r="G175" s="89">
        <v>11</v>
      </c>
      <c r="H175" s="254">
        <f t="shared" si="172"/>
        <v>1586.22</v>
      </c>
      <c r="I175" s="254">
        <f t="shared" si="152"/>
        <v>1491.39</v>
      </c>
      <c r="J175" s="90">
        <f t="shared" si="154"/>
        <v>16405.29</v>
      </c>
      <c r="K175" s="91">
        <f t="shared" si="131"/>
        <v>17448.420000000002</v>
      </c>
      <c r="L175" s="92">
        <f t="shared" si="170"/>
        <v>-1043.130000000001</v>
      </c>
      <c r="M175" s="93">
        <f t="shared" si="133"/>
        <v>-49.817416860844105</v>
      </c>
      <c r="N175" s="94">
        <f t="shared" si="171"/>
        <v>-1092.9474168608451</v>
      </c>
      <c r="O175" s="84">
        <f t="shared" si="174"/>
        <v>70</v>
      </c>
      <c r="P175" s="84">
        <f t="shared" si="174"/>
        <v>91</v>
      </c>
      <c r="Q175" s="84">
        <f t="shared" si="174"/>
        <v>92</v>
      </c>
      <c r="R175" s="84">
        <f t="shared" si="174"/>
        <v>92</v>
      </c>
      <c r="S175" s="84">
        <f t="shared" si="175"/>
        <v>90</v>
      </c>
      <c r="T175" s="84">
        <f t="shared" si="175"/>
        <v>91</v>
      </c>
      <c r="U175" s="84">
        <f t="shared" si="175"/>
        <v>0</v>
      </c>
      <c r="V175" s="112">
        <f>IF(W$8&lt;V$8,0,IF($D175&lt;V$8,V$12,IF($D175&lt;W$8,W$8-$D175,0)))</f>
        <v>0</v>
      </c>
      <c r="W175" s="147">
        <f>$L175*O$11*O175</f>
        <v>-6.501700684931513</v>
      </c>
      <c r="X175" s="95">
        <f>($L175+SUM($W175:W175))*(P$11*P175)</f>
        <v>-8.504892478837503</v>
      </c>
      <c r="Y175" s="95">
        <f>($L175+SUM($W175:X175))*(Q$11*Q175)</f>
        <v>-8.668023050848415</v>
      </c>
      <c r="Z175" s="95">
        <f>($L175+SUM($W175:Y175))*(R$11*R175)</f>
        <v>-8.739029595840297</v>
      </c>
      <c r="AA175" s="95">
        <f>($L175+SUM($W175:Z175))*(S$11*S175)</f>
        <v>-8.619082641083812</v>
      </c>
      <c r="AB175" s="95">
        <f>($L175+SUM($W175:AA175))*(T$11*T175)</f>
        <v>-8.784688409302568</v>
      </c>
      <c r="AC175" s="95">
        <f>($L175+SUM($W175:AB175))*(U$11*U175)</f>
        <v>0</v>
      </c>
      <c r="AD175" s="95">
        <f>($L175+SUM($W175:AC175))*(V$11*V175)</f>
        <v>0</v>
      </c>
      <c r="AE175" s="116">
        <f t="shared" si="169"/>
        <v>-49.817416860844105</v>
      </c>
    </row>
    <row r="176" spans="1:31" ht="12.75">
      <c r="A176" s="16">
        <v>1</v>
      </c>
      <c r="B176" s="15">
        <f t="shared" si="153"/>
        <v>41275</v>
      </c>
      <c r="C176" s="248">
        <f aca="true" t="shared" si="176" ref="C176:D187">+C152</f>
        <v>41310</v>
      </c>
      <c r="D176" s="248">
        <f t="shared" si="176"/>
        <v>41325</v>
      </c>
      <c r="E176" s="122" t="s">
        <v>223</v>
      </c>
      <c r="F176" s="3">
        <v>9</v>
      </c>
      <c r="G176" s="73">
        <v>24</v>
      </c>
      <c r="H176" s="253">
        <f aca="true" t="shared" si="177" ref="H176:H181">$K$3</f>
        <v>1446.51</v>
      </c>
      <c r="I176" s="253">
        <f t="shared" si="152"/>
        <v>1491.39</v>
      </c>
      <c r="J176" s="56">
        <f t="shared" si="154"/>
        <v>35793.36</v>
      </c>
      <c r="K176" s="57">
        <f t="shared" si="131"/>
        <v>34716.24</v>
      </c>
      <c r="L176" s="58">
        <f t="shared" si="170"/>
        <v>1077.1200000000026</v>
      </c>
      <c r="M176" s="55">
        <f t="shared" si="133"/>
        <v>48.44472381404653</v>
      </c>
      <c r="N176" s="29">
        <f t="shared" si="171"/>
        <v>1125.564723814049</v>
      </c>
      <c r="O176" s="16">
        <f aca="true" t="shared" si="178" ref="O176:Q187">IF($D176&lt;O$8,O$12,IF($D176&lt;P$8,P$8-$D176,0))</f>
        <v>40</v>
      </c>
      <c r="P176" s="16">
        <f t="shared" si="178"/>
        <v>91</v>
      </c>
      <c r="Q176" s="16">
        <f t="shared" si="178"/>
        <v>92</v>
      </c>
      <c r="R176" s="16">
        <f aca="true" t="shared" si="179" ref="R176:U195">IF($D176&lt;R$8,R$12,IF($D176&lt;S$8,S$8-$D176,0))</f>
        <v>92</v>
      </c>
      <c r="S176" s="16">
        <f t="shared" si="179"/>
        <v>90</v>
      </c>
      <c r="T176" s="16">
        <f t="shared" si="179"/>
        <v>91</v>
      </c>
      <c r="U176" s="16">
        <f t="shared" si="179"/>
        <v>0</v>
      </c>
      <c r="V176" s="111">
        <f aca="true" t="shared" si="180" ref="V176:V187">IF(W$8&lt;V$8,0,IF($D176&lt;V$8,V$12,IF($D176&lt;W$8,W$8-$D176,0)))</f>
        <v>0</v>
      </c>
      <c r="W176" s="146">
        <f aca="true" t="shared" si="181" ref="W176:W187">$L176*O$11*O176</f>
        <v>3.8363178082191873</v>
      </c>
      <c r="X176" s="63">
        <f>($L176+SUM($W176:W176))*(P$11*P176)</f>
        <v>8.758707698404976</v>
      </c>
      <c r="Y176" s="63">
        <f>($L176+SUM($W176:X176))*(Q$11*Q176)</f>
        <v>8.92670664730086</v>
      </c>
      <c r="Z176" s="63">
        <f>($L176+SUM($W176:Y176))*(R$11*R176)</f>
        <v>8.999832271617105</v>
      </c>
      <c r="AA176" s="63">
        <f>($L176+SUM($W176:Z176))*(S$11*S176)</f>
        <v>8.876305687519777</v>
      </c>
      <c r="AB176" s="63">
        <f>($L176+SUM($W176:AA176))*(T$11*T176)</f>
        <v>9.046853700984625</v>
      </c>
      <c r="AC176" s="63">
        <f>($L176+SUM($W176:AB176))*(U$11*U176)</f>
        <v>0</v>
      </c>
      <c r="AD176" s="63">
        <f>($L176+SUM($W176:AC176))*(V$11*V176)</f>
        <v>0</v>
      </c>
      <c r="AE176" s="115">
        <f>SUM(W176:AD176)</f>
        <v>48.44472381404653</v>
      </c>
    </row>
    <row r="177" spans="1:31" ht="12.75">
      <c r="A177" s="3">
        <v>2</v>
      </c>
      <c r="B177" s="15">
        <f t="shared" si="153"/>
        <v>41306</v>
      </c>
      <c r="C177" s="249">
        <f t="shared" si="176"/>
        <v>41338</v>
      </c>
      <c r="D177" s="249">
        <f t="shared" si="176"/>
        <v>41353</v>
      </c>
      <c r="E177" s="30" t="s">
        <v>223</v>
      </c>
      <c r="F177" s="3">
        <v>9</v>
      </c>
      <c r="G177" s="73">
        <v>21</v>
      </c>
      <c r="H177" s="253">
        <f t="shared" si="177"/>
        <v>1446.51</v>
      </c>
      <c r="I177" s="253">
        <f t="shared" si="152"/>
        <v>1491.39</v>
      </c>
      <c r="J177" s="56">
        <f t="shared" si="154"/>
        <v>31319.190000000002</v>
      </c>
      <c r="K177" s="57">
        <f t="shared" si="131"/>
        <v>30376.71</v>
      </c>
      <c r="L177" s="58">
        <f t="shared" si="170"/>
        <v>942.4800000000032</v>
      </c>
      <c r="M177" s="55">
        <f t="shared" si="133"/>
        <v>39.94242050262808</v>
      </c>
      <c r="N177" s="29">
        <f t="shared" si="171"/>
        <v>982.4224205026313</v>
      </c>
      <c r="O177" s="16">
        <f t="shared" si="178"/>
        <v>12</v>
      </c>
      <c r="P177" s="16">
        <f t="shared" si="178"/>
        <v>91</v>
      </c>
      <c r="Q177" s="16">
        <f t="shared" si="178"/>
        <v>92</v>
      </c>
      <c r="R177" s="16">
        <f t="shared" si="179"/>
        <v>92</v>
      </c>
      <c r="S177" s="16">
        <f t="shared" si="179"/>
        <v>90</v>
      </c>
      <c r="T177" s="16">
        <f t="shared" si="179"/>
        <v>91</v>
      </c>
      <c r="U177" s="16">
        <f t="shared" si="179"/>
        <v>0</v>
      </c>
      <c r="V177" s="111">
        <f t="shared" si="180"/>
        <v>0</v>
      </c>
      <c r="W177" s="146">
        <f t="shared" si="181"/>
        <v>1.0070334246575376</v>
      </c>
      <c r="X177" s="63">
        <f>($L177+SUM($W177:W177))*(P$11*P177)</f>
        <v>7.644829866721737</v>
      </c>
      <c r="Y177" s="63">
        <f>($L177+SUM($W177:X177))*(Q$11*Q177)</f>
        <v>7.791463756825297</v>
      </c>
      <c r="Z177" s="63">
        <f>($L177+SUM($W177:Y177))*(R$11*R177)</f>
        <v>7.8552897202031255</v>
      </c>
      <c r="AA177" s="63">
        <f>($L177+SUM($W177:Z177))*(S$11*S177)</f>
        <v>7.747472476842744</v>
      </c>
      <c r="AB177" s="63">
        <f>($L177+SUM($W177:AA177))*(T$11*T177)</f>
        <v>7.896331257377637</v>
      </c>
      <c r="AC177" s="63">
        <f>($L177+SUM($W177:AB177))*(U$11*U177)</f>
        <v>0</v>
      </c>
      <c r="AD177" s="63">
        <f>($L177+SUM($W177:AC177))*(V$11*V177)</f>
        <v>0</v>
      </c>
      <c r="AE177" s="115">
        <f aca="true" t="shared" si="182" ref="AE177:AE187">SUM(W177:AD177)</f>
        <v>39.94242050262808</v>
      </c>
    </row>
    <row r="178" spans="1:31" ht="12.75">
      <c r="A178" s="3">
        <v>3</v>
      </c>
      <c r="B178" s="15">
        <f t="shared" si="153"/>
        <v>41334</v>
      </c>
      <c r="C178" s="249">
        <f t="shared" si="176"/>
        <v>41367</v>
      </c>
      <c r="D178" s="249">
        <f t="shared" si="176"/>
        <v>41382</v>
      </c>
      <c r="E178" s="30" t="s">
        <v>223</v>
      </c>
      <c r="F178" s="3">
        <v>9</v>
      </c>
      <c r="G178" s="73">
        <v>19</v>
      </c>
      <c r="H178" s="253">
        <f t="shared" si="177"/>
        <v>1446.51</v>
      </c>
      <c r="I178" s="253">
        <f t="shared" si="152"/>
        <v>1491.39</v>
      </c>
      <c r="J178" s="56">
        <f t="shared" si="154"/>
        <v>28336.410000000003</v>
      </c>
      <c r="K178" s="57">
        <f t="shared" si="131"/>
        <v>27483.69</v>
      </c>
      <c r="L178" s="58">
        <f>+J178-K178</f>
        <v>852.7200000000048</v>
      </c>
      <c r="M178" s="55">
        <f t="shared" si="133"/>
        <v>33.856430215317786</v>
      </c>
      <c r="N178" s="29">
        <f>SUM(L178:M178)</f>
        <v>886.5764302153226</v>
      </c>
      <c r="O178" s="16">
        <f t="shared" si="178"/>
        <v>0</v>
      </c>
      <c r="P178" s="16">
        <f t="shared" si="178"/>
        <v>74</v>
      </c>
      <c r="Q178" s="16">
        <f t="shared" si="178"/>
        <v>92</v>
      </c>
      <c r="R178" s="16">
        <f t="shared" si="179"/>
        <v>92</v>
      </c>
      <c r="S178" s="16">
        <f t="shared" si="179"/>
        <v>90</v>
      </c>
      <c r="T178" s="16">
        <f t="shared" si="179"/>
        <v>91</v>
      </c>
      <c r="U178" s="16">
        <f t="shared" si="179"/>
        <v>0</v>
      </c>
      <c r="V178" s="111">
        <f t="shared" si="180"/>
        <v>0</v>
      </c>
      <c r="W178" s="146">
        <f t="shared" si="181"/>
        <v>0</v>
      </c>
      <c r="X178" s="63">
        <f>($L178+SUM($W178:W178))*(P$11*P178)</f>
        <v>5.618607123287703</v>
      </c>
      <c r="Y178" s="63">
        <f>($L178+SUM($W178:X178))*(Q$11*Q178)</f>
        <v>7.0313217405442305</v>
      </c>
      <c r="Z178" s="63">
        <f>($L178+SUM($W178:Y178))*(R$11*R178)</f>
        <v>7.088920787131156</v>
      </c>
      <c r="AA178" s="63">
        <f>($L178+SUM($W178:Z178))*(S$11*S178)</f>
        <v>6.991622288298852</v>
      </c>
      <c r="AB178" s="63">
        <f>($L178+SUM($W178:AA178))*(T$11*T178)</f>
        <v>7.12595827605584</v>
      </c>
      <c r="AC178" s="63">
        <f>($L178+SUM($W178:AB178))*(U$11*U178)</f>
        <v>0</v>
      </c>
      <c r="AD178" s="63">
        <f>($L178+SUM($W178:AC178))*(V$11*V178)</f>
        <v>0</v>
      </c>
      <c r="AE178" s="115">
        <f t="shared" si="182"/>
        <v>33.856430215317786</v>
      </c>
    </row>
    <row r="179" spans="1:31" ht="12.75">
      <c r="A179" s="16">
        <v>4</v>
      </c>
      <c r="B179" s="15">
        <f t="shared" si="153"/>
        <v>41365</v>
      </c>
      <c r="C179" s="249">
        <f t="shared" si="176"/>
        <v>41397</v>
      </c>
      <c r="D179" s="249">
        <f t="shared" si="176"/>
        <v>41414</v>
      </c>
      <c r="E179" s="30" t="s">
        <v>223</v>
      </c>
      <c r="F179" s="3">
        <v>9</v>
      </c>
      <c r="G179" s="73">
        <v>24</v>
      </c>
      <c r="H179" s="253">
        <f t="shared" si="177"/>
        <v>1446.51</v>
      </c>
      <c r="I179" s="253">
        <f t="shared" si="152"/>
        <v>1491.39</v>
      </c>
      <c r="J179" s="56">
        <f t="shared" si="154"/>
        <v>35793.36</v>
      </c>
      <c r="K179" s="57">
        <f t="shared" si="131"/>
        <v>34716.24</v>
      </c>
      <c r="L179" s="58">
        <f aca="true" t="shared" si="183" ref="L179:L189">+J179-K179</f>
        <v>1077.1200000000026</v>
      </c>
      <c r="M179" s="55">
        <f t="shared" si="133"/>
        <v>39.59599640723976</v>
      </c>
      <c r="N179" s="29">
        <f aca="true" t="shared" si="184" ref="N179:N189">SUM(L179:M179)</f>
        <v>1116.7159964072423</v>
      </c>
      <c r="O179" s="16">
        <f t="shared" si="178"/>
        <v>0</v>
      </c>
      <c r="P179" s="16">
        <f t="shared" si="178"/>
        <v>42</v>
      </c>
      <c r="Q179" s="16">
        <f t="shared" si="178"/>
        <v>92</v>
      </c>
      <c r="R179" s="16">
        <f>IF($D179&lt;R$8,R$12,IF($D179&lt;S$8,S$8-$D179,0))</f>
        <v>92</v>
      </c>
      <c r="S179" s="16">
        <f aca="true" t="shared" si="185" ref="S179:U183">IF($D179&lt;S$8,S$12,IF($D179&lt;T$8,T$8-$D179,0))</f>
        <v>90</v>
      </c>
      <c r="T179" s="16">
        <f t="shared" si="185"/>
        <v>91</v>
      </c>
      <c r="U179" s="16">
        <f t="shared" si="185"/>
        <v>0</v>
      </c>
      <c r="V179" s="111">
        <f>IF(W$8&lt;V$8,0,IF($D179&lt;V$8,V$12,IF($D179&lt;W$8,W$8-$D179,0)))</f>
        <v>0</v>
      </c>
      <c r="W179" s="146">
        <f>$L179*O$11*O179</f>
        <v>0</v>
      </c>
      <c r="X179" s="63">
        <f>($L179+SUM($W179:W179))*(P$11*P179)</f>
        <v>4.028133698630147</v>
      </c>
      <c r="Y179" s="63">
        <f>($L179+SUM($W179:X179))*(Q$11*Q179)</f>
        <v>8.85652854728469</v>
      </c>
      <c r="Z179" s="63">
        <f>($L179+SUM($W179:Y179))*(R$11*R179)</f>
        <v>8.929079287987104</v>
      </c>
      <c r="AA179" s="63">
        <f>($L179+SUM($W179:Z179))*(S$11*S179)</f>
        <v>8.806523819141564</v>
      </c>
      <c r="AB179" s="63">
        <f>($L179+SUM($W179:AA179))*(T$11*T179)</f>
        <v>8.975731054196258</v>
      </c>
      <c r="AC179" s="63">
        <f>($L179+SUM($W179:AB179))*(U$11*U179)</f>
        <v>0</v>
      </c>
      <c r="AD179" s="63">
        <f>($L179+SUM($W179:AC179))*(V$11*V179)</f>
        <v>0</v>
      </c>
      <c r="AE179" s="115">
        <f>SUM(W179:AD179)</f>
        <v>39.59599640723976</v>
      </c>
    </row>
    <row r="180" spans="1:31" ht="12.75">
      <c r="A180" s="3">
        <v>5</v>
      </c>
      <c r="B180" s="15">
        <f t="shared" si="153"/>
        <v>41395</v>
      </c>
      <c r="C180" s="249">
        <f t="shared" si="176"/>
        <v>41430</v>
      </c>
      <c r="D180" s="249">
        <f t="shared" si="176"/>
        <v>41445</v>
      </c>
      <c r="E180" s="30" t="s">
        <v>223</v>
      </c>
      <c r="F180" s="3">
        <v>9</v>
      </c>
      <c r="G180" s="73">
        <v>31</v>
      </c>
      <c r="H180" s="253">
        <f t="shared" si="177"/>
        <v>1446.51</v>
      </c>
      <c r="I180" s="253">
        <f aca="true" t="shared" si="186" ref="I180:I211">$J$3</f>
        <v>1491.39</v>
      </c>
      <c r="J180" s="56">
        <f t="shared" si="154"/>
        <v>46233.090000000004</v>
      </c>
      <c r="K180" s="57">
        <f t="shared" si="131"/>
        <v>44841.81</v>
      </c>
      <c r="L180" s="58">
        <f t="shared" si="183"/>
        <v>1391.280000000006</v>
      </c>
      <c r="M180" s="55">
        <f t="shared" si="133"/>
        <v>47.17817517799893</v>
      </c>
      <c r="N180" s="29">
        <f t="shared" si="184"/>
        <v>1438.4581751780051</v>
      </c>
      <c r="O180" s="16">
        <f t="shared" si="178"/>
        <v>0</v>
      </c>
      <c r="P180" s="16">
        <f t="shared" si="178"/>
        <v>11</v>
      </c>
      <c r="Q180" s="16">
        <f t="shared" si="178"/>
        <v>92</v>
      </c>
      <c r="R180" s="16">
        <f>IF($D180&lt;R$8,R$12,IF($D180&lt;S$8,S$8-$D180,0))</f>
        <v>92</v>
      </c>
      <c r="S180" s="16">
        <f t="shared" si="185"/>
        <v>90</v>
      </c>
      <c r="T180" s="16">
        <f t="shared" si="185"/>
        <v>91</v>
      </c>
      <c r="U180" s="16">
        <f t="shared" si="185"/>
        <v>0</v>
      </c>
      <c r="V180" s="111">
        <f>IF(W$8&lt;V$8,0,IF($D180&lt;V$8,V$12,IF($D180&lt;W$8,W$8-$D180,0)))</f>
        <v>0</v>
      </c>
      <c r="W180" s="146">
        <f>$L180*O$11*O180</f>
        <v>0</v>
      </c>
      <c r="X180" s="63">
        <f>($L180+SUM($W180:W180))*(P$11*P180)</f>
        <v>1.3626920547945265</v>
      </c>
      <c r="Y180" s="63">
        <f>($L180+SUM($W180:X180))*(Q$11*Q180)</f>
        <v>11.408223696558503</v>
      </c>
      <c r="Z180" s="63">
        <f>($L180+SUM($W180:Y180))*(R$11*R180)</f>
        <v>11.501677364648119</v>
      </c>
      <c r="AA180" s="63">
        <f>($L180+SUM($W180:Z180))*(S$11*S180)</f>
        <v>11.343811876340606</v>
      </c>
      <c r="AB180" s="63">
        <f>($L180+SUM($W180:AA180))*(T$11*T180)</f>
        <v>11.561770185657176</v>
      </c>
      <c r="AC180" s="63">
        <f>($L180+SUM($W180:AB180))*(U$11*U180)</f>
        <v>0</v>
      </c>
      <c r="AD180" s="63">
        <f>($L180+SUM($W180:AC180))*(V$11*V180)</f>
        <v>0</v>
      </c>
      <c r="AE180" s="115">
        <f>SUM(W180:AD180)</f>
        <v>47.17817517799893</v>
      </c>
    </row>
    <row r="181" spans="1:31" ht="12.75">
      <c r="A181" s="3">
        <v>6</v>
      </c>
      <c r="B181" s="15">
        <f t="shared" si="153"/>
        <v>41426</v>
      </c>
      <c r="C181" s="249">
        <f t="shared" si="176"/>
        <v>41460</v>
      </c>
      <c r="D181" s="249">
        <f t="shared" si="176"/>
        <v>41477</v>
      </c>
      <c r="E181" s="30" t="s">
        <v>223</v>
      </c>
      <c r="F181" s="3">
        <v>9</v>
      </c>
      <c r="G181" s="73">
        <v>37</v>
      </c>
      <c r="H181" s="253">
        <f t="shared" si="177"/>
        <v>1446.51</v>
      </c>
      <c r="I181" s="253">
        <f t="shared" si="186"/>
        <v>1491.39</v>
      </c>
      <c r="J181" s="56">
        <f t="shared" si="154"/>
        <v>55181.43</v>
      </c>
      <c r="K181" s="57">
        <f t="shared" si="131"/>
        <v>53520.87</v>
      </c>
      <c r="L181" s="79">
        <f t="shared" si="183"/>
        <v>1660.5599999999977</v>
      </c>
      <c r="M181" s="80">
        <f t="shared" si="133"/>
        <v>51.44837859287553</v>
      </c>
      <c r="N181" s="78">
        <f t="shared" si="184"/>
        <v>1712.0083785928732</v>
      </c>
      <c r="O181" s="16">
        <f t="shared" si="178"/>
        <v>0</v>
      </c>
      <c r="P181" s="16">
        <f t="shared" si="178"/>
        <v>0</v>
      </c>
      <c r="Q181" s="16">
        <f t="shared" si="178"/>
        <v>71</v>
      </c>
      <c r="R181" s="16">
        <f>IF($D181&lt;R$8,R$12,IF($D181&lt;S$8,S$8-$D181,0))</f>
        <v>92</v>
      </c>
      <c r="S181" s="16">
        <f t="shared" si="185"/>
        <v>90</v>
      </c>
      <c r="T181" s="16">
        <f t="shared" si="185"/>
        <v>91</v>
      </c>
      <c r="U181" s="16">
        <f t="shared" si="185"/>
        <v>0</v>
      </c>
      <c r="V181" s="111">
        <f>IF(W$8&lt;V$8,0,IF($D181&lt;V$8,V$12,IF($D181&lt;W$8,W$8-$D181,0)))</f>
        <v>0</v>
      </c>
      <c r="W181" s="146">
        <f>$L181*O$11*O181</f>
        <v>0</v>
      </c>
      <c r="X181" s="63">
        <f>($L181+SUM($W181:W181))*(P$11*P181)</f>
        <v>0</v>
      </c>
      <c r="Y181" s="63">
        <f>($L181+SUM($W181:X181))*(Q$11*Q181)</f>
        <v>10.497923835616424</v>
      </c>
      <c r="Z181" s="63">
        <f>($L181+SUM($W181:Y181))*(R$11*R181)</f>
        <v>13.68894025279037</v>
      </c>
      <c r="AA181" s="63">
        <f>($L181+SUM($W181:Z181))*(S$11*S181)</f>
        <v>13.501053636872829</v>
      </c>
      <c r="AB181" s="63">
        <f>($L181+SUM($W181:AA181))*(T$11*T181)</f>
        <v>13.760460867595912</v>
      </c>
      <c r="AC181" s="63">
        <f>($L181+SUM($W181:AB181))*(U$11*U181)</f>
        <v>0</v>
      </c>
      <c r="AD181" s="63">
        <f>($L181+SUM($W181:AC181))*(V$11*V181)</f>
        <v>0</v>
      </c>
      <c r="AE181" s="115">
        <f>SUM(W181:AD181)</f>
        <v>51.44837859287553</v>
      </c>
    </row>
    <row r="182" spans="1:31" ht="12.75">
      <c r="A182" s="16">
        <v>7</v>
      </c>
      <c r="B182" s="15">
        <f t="shared" si="153"/>
        <v>41456</v>
      </c>
      <c r="C182" s="249">
        <f t="shared" si="176"/>
        <v>41491</v>
      </c>
      <c r="D182" s="249">
        <f t="shared" si="176"/>
        <v>41506</v>
      </c>
      <c r="E182" s="30" t="s">
        <v>223</v>
      </c>
      <c r="F182" s="3">
        <v>9</v>
      </c>
      <c r="G182" s="73">
        <v>37</v>
      </c>
      <c r="H182" s="253">
        <f aca="true" t="shared" si="187" ref="H182:H187">$K$8</f>
        <v>1586.22</v>
      </c>
      <c r="I182" s="253">
        <f t="shared" si="186"/>
        <v>1491.39</v>
      </c>
      <c r="J182" s="56">
        <f t="shared" si="154"/>
        <v>55181.43</v>
      </c>
      <c r="K182" s="76">
        <f t="shared" si="131"/>
        <v>58690.14</v>
      </c>
      <c r="L182" s="79">
        <f t="shared" si="183"/>
        <v>-3508.709999999999</v>
      </c>
      <c r="M182" s="77">
        <f t="shared" si="133"/>
        <v>-99.42658542096463</v>
      </c>
      <c r="N182" s="78">
        <f t="shared" si="184"/>
        <v>-3608.136585420964</v>
      </c>
      <c r="O182" s="16">
        <f t="shared" si="178"/>
        <v>0</v>
      </c>
      <c r="P182" s="16">
        <f t="shared" si="178"/>
        <v>0</v>
      </c>
      <c r="Q182" s="16">
        <f t="shared" si="178"/>
        <v>42</v>
      </c>
      <c r="R182" s="16">
        <f>IF($D182&lt;R$8,R$12,IF($D182&lt;S$8,S$8-$D182,0))</f>
        <v>92</v>
      </c>
      <c r="S182" s="16">
        <f t="shared" si="185"/>
        <v>90</v>
      </c>
      <c r="T182" s="16">
        <f t="shared" si="185"/>
        <v>91</v>
      </c>
      <c r="U182" s="16">
        <f t="shared" si="185"/>
        <v>0</v>
      </c>
      <c r="V182" s="111">
        <f>IF(W$8&lt;V$8,0,IF($D182&lt;V$8,V$12,IF($D182&lt;W$8,W$8-$D182,0)))</f>
        <v>0</v>
      </c>
      <c r="W182" s="146">
        <f>$L182*O$11*O182</f>
        <v>0</v>
      </c>
      <c r="X182" s="63">
        <f>($L182+SUM($W182:W182))*(P$11*P182)</f>
        <v>0</v>
      </c>
      <c r="Y182" s="63">
        <f>($L182+SUM($W182:X182))*(Q$11*Q182)</f>
        <v>-13.121614109589038</v>
      </c>
      <c r="Z182" s="63">
        <f>($L182+SUM($W182:Y182))*(R$11*R182)</f>
        <v>-28.85007267448676</v>
      </c>
      <c r="AA182" s="63">
        <f>($L182+SUM($W182:Z182))*(S$11*S182)</f>
        <v>-28.454092969434022</v>
      </c>
      <c r="AB182" s="63">
        <f>($L182+SUM($W182:AA182))*(T$11*T182)</f>
        <v>-29.000805667454802</v>
      </c>
      <c r="AC182" s="63">
        <f>($L182+SUM($W182:AB182))*(U$11*U182)</f>
        <v>0</v>
      </c>
      <c r="AD182" s="63">
        <f>($L182+SUM($W182:AC182))*(V$11*V182)</f>
        <v>0</v>
      </c>
      <c r="AE182" s="115">
        <f>SUM(W182:AD182)</f>
        <v>-99.42658542096463</v>
      </c>
    </row>
    <row r="183" spans="1:31" ht="12.75">
      <c r="A183" s="3">
        <v>8</v>
      </c>
      <c r="B183" s="15">
        <f t="shared" si="153"/>
        <v>41487</v>
      </c>
      <c r="C183" s="249">
        <f t="shared" si="176"/>
        <v>41522</v>
      </c>
      <c r="D183" s="249">
        <f t="shared" si="176"/>
        <v>41537</v>
      </c>
      <c r="E183" s="30" t="s">
        <v>223</v>
      </c>
      <c r="F183" s="3">
        <v>9</v>
      </c>
      <c r="G183" s="73">
        <v>33</v>
      </c>
      <c r="H183" s="253">
        <f t="shared" si="187"/>
        <v>1586.22</v>
      </c>
      <c r="I183" s="253">
        <f t="shared" si="186"/>
        <v>1491.39</v>
      </c>
      <c r="J183" s="56">
        <f t="shared" si="154"/>
        <v>49215.87</v>
      </c>
      <c r="K183" s="76">
        <f t="shared" si="131"/>
        <v>52345.26</v>
      </c>
      <c r="L183" s="79">
        <f t="shared" si="183"/>
        <v>-3129.3899999999994</v>
      </c>
      <c r="M183" s="77">
        <f t="shared" si="133"/>
        <v>-79.82811195982907</v>
      </c>
      <c r="N183" s="78">
        <f t="shared" si="184"/>
        <v>-3209.2181119598285</v>
      </c>
      <c r="O183" s="16">
        <f t="shared" si="178"/>
        <v>0</v>
      </c>
      <c r="P183" s="16">
        <f t="shared" si="178"/>
        <v>0</v>
      </c>
      <c r="Q183" s="16">
        <f t="shared" si="178"/>
        <v>11</v>
      </c>
      <c r="R183" s="16">
        <f>IF($D183&lt;R$8,R$12,IF($D183&lt;S$8,S$8-$D183,0))</f>
        <v>92</v>
      </c>
      <c r="S183" s="16">
        <f t="shared" si="185"/>
        <v>90</v>
      </c>
      <c r="T183" s="16">
        <f t="shared" si="185"/>
        <v>91</v>
      </c>
      <c r="U183" s="16">
        <f t="shared" si="185"/>
        <v>0</v>
      </c>
      <c r="V183" s="111">
        <f>IF(W$8&lt;V$8,0,IF($D183&lt;V$8,V$12,IF($D183&lt;W$8,W$8-$D183,0)))</f>
        <v>0</v>
      </c>
      <c r="W183" s="146">
        <f>$L183*O$11*O183</f>
        <v>0</v>
      </c>
      <c r="X183" s="63">
        <f>($L183+SUM($W183:W183))*(P$11*P183)</f>
        <v>0</v>
      </c>
      <c r="Y183" s="63">
        <f>($L183+SUM($W183:X183))*(Q$11*Q183)</f>
        <v>-3.065087465753424</v>
      </c>
      <c r="Z183" s="63">
        <f>($L183+SUM($W183:Y183))*(R$11*R183)</f>
        <v>-25.660385511020824</v>
      </c>
      <c r="AA183" s="63">
        <f>($L183+SUM($W183:Z183))*(S$11*S183)</f>
        <v>-25.30818563960839</v>
      </c>
      <c r="AB183" s="63">
        <f>($L183+SUM($W183:AA183))*(T$11*T183)</f>
        <v>-25.79445334344644</v>
      </c>
      <c r="AC183" s="63">
        <f>($L183+SUM($W183:AB183))*(U$11*U183)</f>
        <v>0</v>
      </c>
      <c r="AD183" s="63">
        <f>($L183+SUM($W183:AC183))*(V$11*V183)</f>
        <v>0</v>
      </c>
      <c r="AE183" s="115">
        <f>SUM(W183:AD183)</f>
        <v>-79.82811195982907</v>
      </c>
    </row>
    <row r="184" spans="1:31" ht="12.75">
      <c r="A184" s="3">
        <v>9</v>
      </c>
      <c r="B184" s="15">
        <f t="shared" si="153"/>
        <v>41518</v>
      </c>
      <c r="C184" s="249">
        <f t="shared" si="176"/>
        <v>41550</v>
      </c>
      <c r="D184" s="249">
        <f t="shared" si="176"/>
        <v>41565</v>
      </c>
      <c r="E184" s="30" t="s">
        <v>223</v>
      </c>
      <c r="F184" s="3">
        <v>9</v>
      </c>
      <c r="G184" s="73">
        <v>39</v>
      </c>
      <c r="H184" s="253">
        <f t="shared" si="187"/>
        <v>1586.22</v>
      </c>
      <c r="I184" s="253">
        <f t="shared" si="186"/>
        <v>1491.39</v>
      </c>
      <c r="J184" s="56">
        <f t="shared" si="154"/>
        <v>58164.21000000001</v>
      </c>
      <c r="K184" s="76">
        <f t="shared" si="131"/>
        <v>61862.58</v>
      </c>
      <c r="L184" s="79">
        <f t="shared" si="183"/>
        <v>-3698.3699999999953</v>
      </c>
      <c r="M184" s="77">
        <f t="shared" si="133"/>
        <v>-84.94236471337484</v>
      </c>
      <c r="N184" s="78">
        <f t="shared" si="184"/>
        <v>-3783.3123647133702</v>
      </c>
      <c r="O184" s="16">
        <f t="shared" si="178"/>
        <v>0</v>
      </c>
      <c r="P184" s="16">
        <f t="shared" si="178"/>
        <v>0</v>
      </c>
      <c r="Q184" s="16">
        <f t="shared" si="178"/>
        <v>0</v>
      </c>
      <c r="R184" s="16">
        <f t="shared" si="179"/>
        <v>75</v>
      </c>
      <c r="S184" s="16">
        <f t="shared" si="179"/>
        <v>90</v>
      </c>
      <c r="T184" s="16">
        <f t="shared" si="179"/>
        <v>91</v>
      </c>
      <c r="U184" s="16">
        <f t="shared" si="179"/>
        <v>0</v>
      </c>
      <c r="V184" s="111">
        <f t="shared" si="180"/>
        <v>0</v>
      </c>
      <c r="W184" s="146">
        <f t="shared" si="181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-24.69801883561641</v>
      </c>
      <c r="AA184" s="63">
        <f>($L184+SUM($W184:Z184))*(S$11*S184)</f>
        <v>-29.835545082449762</v>
      </c>
      <c r="AB184" s="63">
        <f>($L184+SUM($W184:AA184))*(T$11*T184)</f>
        <v>-30.40880079530868</v>
      </c>
      <c r="AC184" s="63">
        <f>($L184+SUM($W184:AB184))*(U$11*U184)</f>
        <v>0</v>
      </c>
      <c r="AD184" s="63">
        <f>($L184+SUM($W184:AC184))*(V$11*V184)</f>
        <v>0</v>
      </c>
      <c r="AE184" s="115">
        <f t="shared" si="182"/>
        <v>-84.94236471337484</v>
      </c>
    </row>
    <row r="185" spans="1:31" ht="12.75">
      <c r="A185" s="16">
        <v>10</v>
      </c>
      <c r="B185" s="15">
        <f t="shared" si="153"/>
        <v>41548</v>
      </c>
      <c r="C185" s="249">
        <f t="shared" si="176"/>
        <v>41583</v>
      </c>
      <c r="D185" s="249">
        <f t="shared" si="176"/>
        <v>41598</v>
      </c>
      <c r="E185" s="30" t="s">
        <v>223</v>
      </c>
      <c r="F185" s="3">
        <v>9</v>
      </c>
      <c r="G185" s="73">
        <v>30</v>
      </c>
      <c r="H185" s="253">
        <f t="shared" si="187"/>
        <v>1586.22</v>
      </c>
      <c r="I185" s="253">
        <f t="shared" si="186"/>
        <v>1491.39</v>
      </c>
      <c r="J185" s="56">
        <f t="shared" si="154"/>
        <v>44741.700000000004</v>
      </c>
      <c r="K185" s="76">
        <f t="shared" si="131"/>
        <v>47586.6</v>
      </c>
      <c r="L185" s="79">
        <f t="shared" si="183"/>
        <v>-2844.899999999994</v>
      </c>
      <c r="M185" s="77">
        <f t="shared" si="133"/>
        <v>-56.8456856832597</v>
      </c>
      <c r="N185" s="78">
        <f t="shared" si="184"/>
        <v>-2901.7456856832537</v>
      </c>
      <c r="O185" s="16">
        <f t="shared" si="178"/>
        <v>0</v>
      </c>
      <c r="P185" s="16">
        <f t="shared" si="178"/>
        <v>0</v>
      </c>
      <c r="Q185" s="16">
        <f t="shared" si="178"/>
        <v>0</v>
      </c>
      <c r="R185" s="16">
        <f t="shared" si="179"/>
        <v>42</v>
      </c>
      <c r="S185" s="16">
        <f t="shared" si="179"/>
        <v>90</v>
      </c>
      <c r="T185" s="16">
        <f t="shared" si="179"/>
        <v>91</v>
      </c>
      <c r="U185" s="16">
        <f t="shared" si="179"/>
        <v>0</v>
      </c>
      <c r="V185" s="111">
        <f t="shared" si="180"/>
        <v>0</v>
      </c>
      <c r="W185" s="146">
        <f t="shared" si="181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-10.639146575342444</v>
      </c>
      <c r="AA185" s="63">
        <f>($L185+SUM($W185:Z185))*(S$11*S185)</f>
        <v>-22.88343014721331</v>
      </c>
      <c r="AB185" s="63">
        <f>($L185+SUM($W185:AA185))*(T$11*T185)</f>
        <v>-23.323108960703948</v>
      </c>
      <c r="AC185" s="63">
        <f>($L185+SUM($W185:AB185))*(U$11*U185)</f>
        <v>0</v>
      </c>
      <c r="AD185" s="63">
        <f>($L185+SUM($W185:AC185))*(V$11*V185)</f>
        <v>0</v>
      </c>
      <c r="AE185" s="115">
        <f t="shared" si="182"/>
        <v>-56.8456856832597</v>
      </c>
    </row>
    <row r="186" spans="1:31" ht="12.75">
      <c r="A186" s="3">
        <v>11</v>
      </c>
      <c r="B186" s="15">
        <f t="shared" si="153"/>
        <v>41579</v>
      </c>
      <c r="C186" s="249">
        <f t="shared" si="176"/>
        <v>41612</v>
      </c>
      <c r="D186" s="249">
        <f t="shared" si="176"/>
        <v>41627</v>
      </c>
      <c r="E186" s="30" t="s">
        <v>223</v>
      </c>
      <c r="F186" s="3">
        <v>9</v>
      </c>
      <c r="G186" s="73">
        <v>21</v>
      </c>
      <c r="H186" s="253">
        <f t="shared" si="187"/>
        <v>1586.22</v>
      </c>
      <c r="I186" s="253">
        <f t="shared" si="186"/>
        <v>1491.39</v>
      </c>
      <c r="J186" s="56">
        <f t="shared" si="154"/>
        <v>31319.190000000002</v>
      </c>
      <c r="K186" s="76">
        <f t="shared" si="131"/>
        <v>33310.62</v>
      </c>
      <c r="L186" s="79">
        <f t="shared" si="183"/>
        <v>-1991.4300000000003</v>
      </c>
      <c r="M186" s="77">
        <f t="shared" si="133"/>
        <v>-34.566517076177334</v>
      </c>
      <c r="N186" s="78">
        <f t="shared" si="184"/>
        <v>-2025.9965170761777</v>
      </c>
      <c r="O186" s="16">
        <f t="shared" si="178"/>
        <v>0</v>
      </c>
      <c r="P186" s="16">
        <f t="shared" si="178"/>
        <v>0</v>
      </c>
      <c r="Q186" s="16">
        <f t="shared" si="178"/>
        <v>0</v>
      </c>
      <c r="R186" s="16">
        <f t="shared" si="179"/>
        <v>13</v>
      </c>
      <c r="S186" s="16">
        <f t="shared" si="179"/>
        <v>90</v>
      </c>
      <c r="T186" s="16">
        <f t="shared" si="179"/>
        <v>91</v>
      </c>
      <c r="U186" s="16">
        <f t="shared" si="179"/>
        <v>0</v>
      </c>
      <c r="V186" s="111">
        <f t="shared" si="180"/>
        <v>0</v>
      </c>
      <c r="W186" s="146">
        <f t="shared" si="181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-2.3051484246575344</v>
      </c>
      <c r="AA186" s="63">
        <f>($L186+SUM($W186:Z186))*(S$11*S186)</f>
        <v>-15.977192627786641</v>
      </c>
      <c r="AB186" s="63">
        <f>($L186+SUM($W186:AA186))*(T$11*T186)</f>
        <v>-16.284176023733163</v>
      </c>
      <c r="AC186" s="63">
        <f>($L186+SUM($W186:AB186))*(U$11*U186)</f>
        <v>0</v>
      </c>
      <c r="AD186" s="63">
        <f>($L186+SUM($W186:AC186))*(V$11*V186)</f>
        <v>0</v>
      </c>
      <c r="AE186" s="115">
        <f t="shared" si="182"/>
        <v>-34.566517076177334</v>
      </c>
    </row>
    <row r="187" spans="1:31" s="70" customFormat="1" ht="12.75">
      <c r="A187" s="3">
        <v>12</v>
      </c>
      <c r="B187" s="87">
        <f t="shared" si="153"/>
        <v>41609</v>
      </c>
      <c r="C187" s="249">
        <f t="shared" si="176"/>
        <v>41280</v>
      </c>
      <c r="D187" s="249">
        <f t="shared" si="176"/>
        <v>41295</v>
      </c>
      <c r="E187" s="88" t="s">
        <v>223</v>
      </c>
      <c r="F187" s="84">
        <v>9</v>
      </c>
      <c r="G187" s="89">
        <v>23</v>
      </c>
      <c r="H187" s="254">
        <f t="shared" si="187"/>
        <v>1586.22</v>
      </c>
      <c r="I187" s="254">
        <f t="shared" si="186"/>
        <v>1491.39</v>
      </c>
      <c r="J187" s="90">
        <f t="shared" si="154"/>
        <v>34301.97</v>
      </c>
      <c r="K187" s="91">
        <f t="shared" si="131"/>
        <v>36483.06</v>
      </c>
      <c r="L187" s="92">
        <f t="shared" si="183"/>
        <v>-2181.0899999999965</v>
      </c>
      <c r="M187" s="93">
        <f t="shared" si="133"/>
        <v>-104.16368979994651</v>
      </c>
      <c r="N187" s="94">
        <f t="shared" si="184"/>
        <v>-2285.253689799943</v>
      </c>
      <c r="O187" s="84">
        <f t="shared" si="178"/>
        <v>70</v>
      </c>
      <c r="P187" s="84">
        <f t="shared" si="178"/>
        <v>91</v>
      </c>
      <c r="Q187" s="84">
        <f t="shared" si="178"/>
        <v>92</v>
      </c>
      <c r="R187" s="84">
        <f t="shared" si="179"/>
        <v>92</v>
      </c>
      <c r="S187" s="84">
        <f t="shared" si="179"/>
        <v>90</v>
      </c>
      <c r="T187" s="84">
        <f t="shared" si="179"/>
        <v>91</v>
      </c>
      <c r="U187" s="84">
        <f t="shared" si="179"/>
        <v>0</v>
      </c>
      <c r="V187" s="112">
        <f t="shared" si="180"/>
        <v>0</v>
      </c>
      <c r="W187" s="147">
        <f t="shared" si="181"/>
        <v>-13.594465068493129</v>
      </c>
      <c r="X187" s="95">
        <f>($L187+SUM($W187:W187))*(P$11*P187)</f>
        <v>-17.78295700120564</v>
      </c>
      <c r="Y187" s="95">
        <f>($L187+SUM($W187:X187))*(Q$11*Q187)</f>
        <v>-18.12404819722846</v>
      </c>
      <c r="Z187" s="95">
        <f>($L187+SUM($W187:Y187))*(R$11*R187)</f>
        <v>-18.27251642766603</v>
      </c>
      <c r="AA187" s="95">
        <f>($L187+SUM($W187:Z187))*(S$11*S187)</f>
        <v>-18.021718249538832</v>
      </c>
      <c r="AB187" s="95">
        <f>($L187+SUM($W187:AA187))*(T$11*T187)</f>
        <v>-18.367984855814413</v>
      </c>
      <c r="AC187" s="95">
        <f>($L187+SUM($W187:AB187))*(U$11*U187)</f>
        <v>0</v>
      </c>
      <c r="AD187" s="95">
        <f>($L187+SUM($W187:AC187))*(V$11*V187)</f>
        <v>0</v>
      </c>
      <c r="AE187" s="116">
        <f t="shared" si="182"/>
        <v>-104.16368979994651</v>
      </c>
    </row>
    <row r="188" spans="1:31" ht="12.75">
      <c r="A188" s="16">
        <v>1</v>
      </c>
      <c r="B188" s="15">
        <f t="shared" si="153"/>
        <v>41275</v>
      </c>
      <c r="C188" s="248">
        <f aca="true" t="shared" si="188" ref="C188:D211">+C176</f>
        <v>41310</v>
      </c>
      <c r="D188" s="248">
        <f t="shared" si="188"/>
        <v>41325</v>
      </c>
      <c r="E188" s="123" t="s">
        <v>224</v>
      </c>
      <c r="F188" s="16">
        <v>9</v>
      </c>
      <c r="G188" s="73">
        <v>43</v>
      </c>
      <c r="H188" s="253">
        <f aca="true" t="shared" si="189" ref="H188:H193">$K$3</f>
        <v>1446.51</v>
      </c>
      <c r="I188" s="253">
        <f t="shared" si="186"/>
        <v>1491.39</v>
      </c>
      <c r="J188" s="56">
        <f t="shared" si="154"/>
        <v>64129.770000000004</v>
      </c>
      <c r="K188" s="57">
        <f t="shared" si="131"/>
        <v>62199.93</v>
      </c>
      <c r="L188" s="58">
        <f t="shared" si="183"/>
        <v>1929.8400000000038</v>
      </c>
      <c r="M188" s="55">
        <f t="shared" si="133"/>
        <v>86.79679683349998</v>
      </c>
      <c r="N188" s="29">
        <f t="shared" si="184"/>
        <v>2016.6367968335037</v>
      </c>
      <c r="O188" s="16">
        <f aca="true" t="shared" si="190" ref="O188:O211">IF($D188&lt;O$8,O$12,IF($D188&lt;P$8,P$8-$D188,0))</f>
        <v>40</v>
      </c>
      <c r="P188" s="16">
        <f aca="true" t="shared" si="191" ref="P188:P211">IF($D188&lt;P$8,P$12,IF($D188&lt;Q$8,Q$8-$D188,0))</f>
        <v>91</v>
      </c>
      <c r="Q188" s="16">
        <f aca="true" t="shared" si="192" ref="Q188:Q211">IF($D188&lt;Q$8,Q$12,IF($D188&lt;R$8,R$8-$D188,0))</f>
        <v>92</v>
      </c>
      <c r="R188" s="16">
        <f t="shared" si="179"/>
        <v>92</v>
      </c>
      <c r="S188" s="16">
        <f t="shared" si="179"/>
        <v>90</v>
      </c>
      <c r="T188" s="16">
        <f t="shared" si="179"/>
        <v>91</v>
      </c>
      <c r="U188" s="16">
        <f t="shared" si="179"/>
        <v>0</v>
      </c>
      <c r="V188" s="111">
        <f>IF(W$8&lt;V$8,0,IF($D188&lt;V$8,V$12,IF($D188&lt;W$8,W$8-$D188,0)))</f>
        <v>0</v>
      </c>
      <c r="W188" s="146">
        <f>$L188*O$11*O188</f>
        <v>6.873402739726041</v>
      </c>
      <c r="X188" s="63">
        <f>($L188+SUM($W188:W188))*(P$11*P188)</f>
        <v>15.692684626308907</v>
      </c>
      <c r="Y188" s="63">
        <f>($L188+SUM($W188:X188))*(Q$11*Q188)</f>
        <v>15.993682743080699</v>
      </c>
      <c r="Z188" s="63">
        <f>($L188+SUM($W188:Y188))*(R$11*R188)</f>
        <v>16.124699486647305</v>
      </c>
      <c r="AA188" s="63">
        <f>($L188+SUM($W188:Z188))*(S$11*S188)</f>
        <v>15.903381023472924</v>
      </c>
      <c r="AB188" s="63">
        <f>($L188+SUM($W188:AA188))*(T$11*T188)</f>
        <v>16.208946214264113</v>
      </c>
      <c r="AC188" s="63">
        <f>($L188+SUM($W188:AB188))*(U$11*U188)</f>
        <v>0</v>
      </c>
      <c r="AD188" s="63">
        <f>($L188+SUM($W188:AC188))*(V$11*V188)</f>
        <v>0</v>
      </c>
      <c r="AE188" s="115">
        <f aca="true" t="shared" si="193" ref="AE188:AE211">SUM(W188:AD188)</f>
        <v>86.79679683349998</v>
      </c>
    </row>
    <row r="189" spans="1:31" ht="12.75">
      <c r="A189" s="3">
        <v>2</v>
      </c>
      <c r="B189" s="15">
        <f t="shared" si="153"/>
        <v>41306</v>
      </c>
      <c r="C189" s="249">
        <f t="shared" si="188"/>
        <v>41338</v>
      </c>
      <c r="D189" s="249">
        <f t="shared" si="188"/>
        <v>41353</v>
      </c>
      <c r="E189" s="71" t="s">
        <v>224</v>
      </c>
      <c r="F189" s="3">
        <v>9</v>
      </c>
      <c r="G189" s="73">
        <v>41</v>
      </c>
      <c r="H189" s="253">
        <f t="shared" si="189"/>
        <v>1446.51</v>
      </c>
      <c r="I189" s="253">
        <f t="shared" si="186"/>
        <v>1491.39</v>
      </c>
      <c r="J189" s="56">
        <f t="shared" si="154"/>
        <v>61146.990000000005</v>
      </c>
      <c r="K189" s="57">
        <f t="shared" si="131"/>
        <v>59306.909999999996</v>
      </c>
      <c r="L189" s="58">
        <f t="shared" si="183"/>
        <v>1840.080000000009</v>
      </c>
      <c r="M189" s="55">
        <f t="shared" si="133"/>
        <v>77.9828209813216</v>
      </c>
      <c r="N189" s="29">
        <f t="shared" si="184"/>
        <v>1918.0628209813306</v>
      </c>
      <c r="O189" s="16">
        <f t="shared" si="190"/>
        <v>12</v>
      </c>
      <c r="P189" s="16">
        <f t="shared" si="191"/>
        <v>91</v>
      </c>
      <c r="Q189" s="16">
        <f t="shared" si="192"/>
        <v>92</v>
      </c>
      <c r="R189" s="16">
        <f t="shared" si="179"/>
        <v>92</v>
      </c>
      <c r="S189" s="16">
        <f t="shared" si="179"/>
        <v>90</v>
      </c>
      <c r="T189" s="16">
        <f t="shared" si="179"/>
        <v>91</v>
      </c>
      <c r="U189" s="16">
        <f t="shared" si="179"/>
        <v>0</v>
      </c>
      <c r="V189" s="111">
        <f aca="true" t="shared" si="194" ref="V189:V199">IF(W$8&lt;V$8,0,IF($D189&lt;V$8,V$12,IF($D189&lt;W$8,W$8-$D189,0)))</f>
        <v>0</v>
      </c>
      <c r="W189" s="146">
        <f aca="true" t="shared" si="195" ref="W189:W199">$L189*O$11*O189</f>
        <v>1.9661128767123384</v>
      </c>
      <c r="X189" s="63">
        <f>($L189+SUM($W189:W189))*(P$11*P189)</f>
        <v>14.925620215980556</v>
      </c>
      <c r="Y189" s="63">
        <f>($L189+SUM($W189:X189))*(Q$11*Q189)</f>
        <v>15.21190542999227</v>
      </c>
      <c r="Z189" s="63">
        <f>($L189+SUM($W189:Y189))*(R$11*R189)</f>
        <v>15.336518025158506</v>
      </c>
      <c r="AA189" s="63">
        <f>($L189+SUM($W189:Z189))*(S$11*S189)</f>
        <v>15.126017692883474</v>
      </c>
      <c r="AB189" s="63">
        <f>($L189+SUM($W189:AA189))*(T$11*T189)</f>
        <v>15.416646740594459</v>
      </c>
      <c r="AC189" s="63">
        <f>($L189+SUM($W189:AB189))*(U$11*U189)</f>
        <v>0</v>
      </c>
      <c r="AD189" s="63">
        <f>($L189+SUM($W189:AC189))*(V$11*V189)</f>
        <v>0</v>
      </c>
      <c r="AE189" s="115">
        <f t="shared" si="193"/>
        <v>77.9828209813216</v>
      </c>
    </row>
    <row r="190" spans="1:31" ht="12.75">
      <c r="A190" s="3">
        <v>3</v>
      </c>
      <c r="B190" s="15">
        <f t="shared" si="153"/>
        <v>41334</v>
      </c>
      <c r="C190" s="249">
        <f t="shared" si="188"/>
        <v>41367</v>
      </c>
      <c r="D190" s="249">
        <f t="shared" si="188"/>
        <v>41382</v>
      </c>
      <c r="E190" s="71" t="s">
        <v>224</v>
      </c>
      <c r="F190" s="3">
        <v>9</v>
      </c>
      <c r="G190" s="73">
        <v>42</v>
      </c>
      <c r="H190" s="253">
        <f t="shared" si="189"/>
        <v>1446.51</v>
      </c>
      <c r="I190" s="253">
        <f t="shared" si="186"/>
        <v>1491.39</v>
      </c>
      <c r="J190" s="56">
        <f t="shared" si="154"/>
        <v>62638.380000000005</v>
      </c>
      <c r="K190" s="57">
        <f t="shared" si="131"/>
        <v>60753.42</v>
      </c>
      <c r="L190" s="58">
        <f>+J190-K190</f>
        <v>1884.9600000000064</v>
      </c>
      <c r="M190" s="55">
        <f t="shared" si="133"/>
        <v>74.84052994964966</v>
      </c>
      <c r="N190" s="29">
        <f>SUM(L190:M190)</f>
        <v>1959.800529949656</v>
      </c>
      <c r="O190" s="16">
        <f t="shared" si="190"/>
        <v>0</v>
      </c>
      <c r="P190" s="16">
        <f t="shared" si="191"/>
        <v>74</v>
      </c>
      <c r="Q190" s="16">
        <f t="shared" si="192"/>
        <v>92</v>
      </c>
      <c r="R190" s="16">
        <f t="shared" si="179"/>
        <v>92</v>
      </c>
      <c r="S190" s="16">
        <f t="shared" si="179"/>
        <v>90</v>
      </c>
      <c r="T190" s="16">
        <f t="shared" si="179"/>
        <v>91</v>
      </c>
      <c r="U190" s="16">
        <f t="shared" si="179"/>
        <v>0</v>
      </c>
      <c r="V190" s="111">
        <f t="shared" si="194"/>
        <v>0</v>
      </c>
      <c r="W190" s="146">
        <f t="shared" si="195"/>
        <v>0</v>
      </c>
      <c r="X190" s="63">
        <f>($L190+SUM($W190:W190))*(P$11*P190)</f>
        <v>12.42007890410963</v>
      </c>
      <c r="Y190" s="63">
        <f>($L190+SUM($W190:X190))*(Q$11*Q190)</f>
        <v>15.542921742255634</v>
      </c>
      <c r="Z190" s="63">
        <f>($L190+SUM($W190:Y190))*(R$11*R190)</f>
        <v>15.670245950500414</v>
      </c>
      <c r="AA190" s="63">
        <f>($L190+SUM($W190:Z190))*(S$11*S190)</f>
        <v>15.455165058344797</v>
      </c>
      <c r="AB190" s="63">
        <f>($L190+SUM($W190:AA190))*(T$11*T190)</f>
        <v>15.752118294439189</v>
      </c>
      <c r="AC190" s="63">
        <f>($L190+SUM($W190:AB190))*(U$11*U190)</f>
        <v>0</v>
      </c>
      <c r="AD190" s="63">
        <f>($L190+SUM($W190:AC190))*(V$11*V190)</f>
        <v>0</v>
      </c>
      <c r="AE190" s="115">
        <f t="shared" si="193"/>
        <v>74.84052994964966</v>
      </c>
    </row>
    <row r="191" spans="1:31" ht="12.75">
      <c r="A191" s="16">
        <v>4</v>
      </c>
      <c r="B191" s="15">
        <f t="shared" si="153"/>
        <v>41365</v>
      </c>
      <c r="C191" s="249">
        <f t="shared" si="188"/>
        <v>41397</v>
      </c>
      <c r="D191" s="249">
        <f t="shared" si="188"/>
        <v>41414</v>
      </c>
      <c r="E191" s="30" t="s">
        <v>224</v>
      </c>
      <c r="F191" s="3">
        <v>9</v>
      </c>
      <c r="G191" s="73">
        <v>42</v>
      </c>
      <c r="H191" s="253">
        <f t="shared" si="189"/>
        <v>1446.51</v>
      </c>
      <c r="I191" s="253">
        <f t="shared" si="186"/>
        <v>1491.39</v>
      </c>
      <c r="J191" s="56">
        <f t="shared" si="154"/>
        <v>62638.380000000005</v>
      </c>
      <c r="K191" s="57">
        <f t="shared" si="131"/>
        <v>60753.42</v>
      </c>
      <c r="L191" s="58">
        <f aca="true" t="shared" si="196" ref="L191:L201">+J191-K191</f>
        <v>1884.9600000000064</v>
      </c>
      <c r="M191" s="55">
        <f t="shared" si="133"/>
        <v>69.29299371266966</v>
      </c>
      <c r="N191" s="29">
        <f aca="true" t="shared" si="197" ref="N191:N201">SUM(L191:M191)</f>
        <v>1954.252993712676</v>
      </c>
      <c r="O191" s="16">
        <f aca="true" t="shared" si="198" ref="O191:U191">IF($D191&lt;O$8,O$12,IF($D191&lt;P$8,P$8-$D191,0))</f>
        <v>0</v>
      </c>
      <c r="P191" s="16">
        <f t="shared" si="198"/>
        <v>42</v>
      </c>
      <c r="Q191" s="16">
        <f t="shared" si="198"/>
        <v>92</v>
      </c>
      <c r="R191" s="16">
        <f t="shared" si="198"/>
        <v>92</v>
      </c>
      <c r="S191" s="16">
        <f t="shared" si="198"/>
        <v>90</v>
      </c>
      <c r="T191" s="16">
        <f t="shared" si="198"/>
        <v>91</v>
      </c>
      <c r="U191" s="16">
        <f t="shared" si="198"/>
        <v>0</v>
      </c>
      <c r="V191" s="111">
        <f>IF(W$8&lt;V$8,0,IF($D191&lt;V$8,V$12,IF($D191&lt;W$8,W$8-$D191,0)))</f>
        <v>0</v>
      </c>
      <c r="W191" s="146">
        <f>$L191*O$11*O191</f>
        <v>0</v>
      </c>
      <c r="X191" s="63">
        <f>($L191+SUM($W191:W191))*(P$11*P191)</f>
        <v>7.049233972602764</v>
      </c>
      <c r="Y191" s="63">
        <f>($L191+SUM($W191:X191))*(Q$11*Q191)</f>
        <v>15.49892495774822</v>
      </c>
      <c r="Z191" s="63">
        <f>($L191+SUM($W191:Y191))*(R$11*R191)</f>
        <v>15.625888753977447</v>
      </c>
      <c r="AA191" s="63">
        <f>($L191+SUM($W191:Z191))*(S$11*S191)</f>
        <v>15.41141668349775</v>
      </c>
      <c r="AB191" s="63">
        <f>($L191+SUM($W191:AA191))*(T$11*T191)</f>
        <v>15.707529344843467</v>
      </c>
      <c r="AC191" s="63">
        <f>($L191+SUM($W191:AB191))*(U$11*U191)</f>
        <v>0</v>
      </c>
      <c r="AD191" s="63">
        <f>($L191+SUM($W191:AC191))*(V$11*V191)</f>
        <v>0</v>
      </c>
      <c r="AE191" s="115">
        <f>SUM(W191:AD191)</f>
        <v>69.29299371266966</v>
      </c>
    </row>
    <row r="192" spans="1:31" ht="12.75">
      <c r="A192" s="3">
        <v>5</v>
      </c>
      <c r="B192" s="15">
        <f t="shared" si="153"/>
        <v>41395</v>
      </c>
      <c r="C192" s="249">
        <f t="shared" si="188"/>
        <v>41430</v>
      </c>
      <c r="D192" s="249">
        <f t="shared" si="188"/>
        <v>41445</v>
      </c>
      <c r="E192" s="30" t="s">
        <v>224</v>
      </c>
      <c r="F192" s="3">
        <v>9</v>
      </c>
      <c r="G192" s="73">
        <v>47</v>
      </c>
      <c r="H192" s="253">
        <f t="shared" si="189"/>
        <v>1446.51</v>
      </c>
      <c r="I192" s="253">
        <f t="shared" si="186"/>
        <v>1491.39</v>
      </c>
      <c r="J192" s="56">
        <f t="shared" si="154"/>
        <v>70095.33</v>
      </c>
      <c r="K192" s="57">
        <f t="shared" si="131"/>
        <v>67985.97</v>
      </c>
      <c r="L192" s="58">
        <f t="shared" si="196"/>
        <v>2109.3600000000006</v>
      </c>
      <c r="M192" s="55">
        <f t="shared" si="133"/>
        <v>71.52820107632066</v>
      </c>
      <c r="N192" s="29">
        <f t="shared" si="197"/>
        <v>2180.8882010763214</v>
      </c>
      <c r="O192" s="16">
        <f t="shared" si="190"/>
        <v>0</v>
      </c>
      <c r="P192" s="16">
        <f t="shared" si="191"/>
        <v>11</v>
      </c>
      <c r="Q192" s="16">
        <f t="shared" si="192"/>
        <v>92</v>
      </c>
      <c r="R192" s="16">
        <f t="shared" si="179"/>
        <v>92</v>
      </c>
      <c r="S192" s="16">
        <f t="shared" si="179"/>
        <v>90</v>
      </c>
      <c r="T192" s="16">
        <f t="shared" si="179"/>
        <v>91</v>
      </c>
      <c r="U192" s="16">
        <f t="shared" si="179"/>
        <v>0</v>
      </c>
      <c r="V192" s="111">
        <f t="shared" si="194"/>
        <v>0</v>
      </c>
      <c r="W192" s="146">
        <f t="shared" si="195"/>
        <v>0</v>
      </c>
      <c r="X192" s="63">
        <f>($L192+SUM($W192:W192))*(P$11*P192)</f>
        <v>2.06601698630137</v>
      </c>
      <c r="Y192" s="63">
        <f>($L192+SUM($W192:X192))*(Q$11*Q192)</f>
        <v>17.29633915284669</v>
      </c>
      <c r="Z192" s="63">
        <f>($L192+SUM($W192:Y192))*(R$11*R192)</f>
        <v>17.438026972208366</v>
      </c>
      <c r="AA192" s="63">
        <f>($L192+SUM($W192:Z192))*(S$11*S192)</f>
        <v>17.19868252219375</v>
      </c>
      <c r="AB192" s="63">
        <f>($L192+SUM($W192:AA192))*(T$11*T192)</f>
        <v>17.529135442770485</v>
      </c>
      <c r="AC192" s="63">
        <f>($L192+SUM($W192:AB192))*(U$11*U192)</f>
        <v>0</v>
      </c>
      <c r="AD192" s="63">
        <f>($L192+SUM($W192:AC192))*(V$11*V192)</f>
        <v>0</v>
      </c>
      <c r="AE192" s="115">
        <f t="shared" si="193"/>
        <v>71.52820107632066</v>
      </c>
    </row>
    <row r="193" spans="1:31" ht="12.75">
      <c r="A193" s="3">
        <v>6</v>
      </c>
      <c r="B193" s="15">
        <f t="shared" si="153"/>
        <v>41426</v>
      </c>
      <c r="C193" s="249">
        <f t="shared" si="188"/>
        <v>41460</v>
      </c>
      <c r="D193" s="249">
        <f t="shared" si="188"/>
        <v>41477</v>
      </c>
      <c r="E193" s="30" t="s">
        <v>224</v>
      </c>
      <c r="F193" s="3">
        <v>9</v>
      </c>
      <c r="G193" s="73">
        <v>59</v>
      </c>
      <c r="H193" s="253">
        <f t="shared" si="189"/>
        <v>1446.51</v>
      </c>
      <c r="I193" s="253">
        <f t="shared" si="186"/>
        <v>1491.39</v>
      </c>
      <c r="J193" s="56">
        <f t="shared" si="154"/>
        <v>87992.01000000001</v>
      </c>
      <c r="K193" s="57">
        <f t="shared" si="131"/>
        <v>85344.09</v>
      </c>
      <c r="L193" s="79">
        <f t="shared" si="196"/>
        <v>2647.920000000013</v>
      </c>
      <c r="M193" s="80">
        <f t="shared" si="133"/>
        <v>82.03930640485609</v>
      </c>
      <c r="N193" s="78">
        <f t="shared" si="197"/>
        <v>2729.959306404869</v>
      </c>
      <c r="O193" s="16">
        <f t="shared" si="190"/>
        <v>0</v>
      </c>
      <c r="P193" s="16">
        <f t="shared" si="191"/>
        <v>0</v>
      </c>
      <c r="Q193" s="16">
        <f t="shared" si="192"/>
        <v>71</v>
      </c>
      <c r="R193" s="16">
        <f t="shared" si="179"/>
        <v>92</v>
      </c>
      <c r="S193" s="16">
        <f t="shared" si="179"/>
        <v>90</v>
      </c>
      <c r="T193" s="16">
        <f t="shared" si="179"/>
        <v>91</v>
      </c>
      <c r="U193" s="16">
        <f t="shared" si="179"/>
        <v>0</v>
      </c>
      <c r="V193" s="111">
        <f t="shared" si="194"/>
        <v>0</v>
      </c>
      <c r="W193" s="146">
        <f t="shared" si="195"/>
        <v>0</v>
      </c>
      <c r="X193" s="63">
        <f>($L193+SUM($W193:W193))*(P$11*P193)</f>
        <v>0</v>
      </c>
      <c r="Y193" s="63">
        <f>($L193+SUM($W193:X193))*(Q$11*Q193)</f>
        <v>16.739932602739806</v>
      </c>
      <c r="Z193" s="63">
        <f>($L193+SUM($W193:Y193))*(R$11*R193)</f>
        <v>21.828310132828026</v>
      </c>
      <c r="AA193" s="63">
        <f>($L193+SUM($W193:Z193))*(S$11*S193)</f>
        <v>21.52870715068924</v>
      </c>
      <c r="AB193" s="63">
        <f>($L193+SUM($W193:AA193))*(T$11*T193)</f>
        <v>21.94235651859902</v>
      </c>
      <c r="AC193" s="63">
        <f>($L193+SUM($W193:AB193))*(U$11*U193)</f>
        <v>0</v>
      </c>
      <c r="AD193" s="63">
        <f>($L193+SUM($W193:AC193))*(V$11*V193)</f>
        <v>0</v>
      </c>
      <c r="AE193" s="115">
        <f t="shared" si="193"/>
        <v>82.03930640485609</v>
      </c>
    </row>
    <row r="194" spans="1:31" ht="12.75">
      <c r="A194" s="16">
        <v>7</v>
      </c>
      <c r="B194" s="15">
        <f t="shared" si="153"/>
        <v>41456</v>
      </c>
      <c r="C194" s="249">
        <f t="shared" si="188"/>
        <v>41491</v>
      </c>
      <c r="D194" s="249">
        <f t="shared" si="188"/>
        <v>41506</v>
      </c>
      <c r="E194" s="30" t="s">
        <v>224</v>
      </c>
      <c r="F194" s="3">
        <v>9</v>
      </c>
      <c r="G194" s="73">
        <v>60</v>
      </c>
      <c r="H194" s="253">
        <f aca="true" t="shared" si="199" ref="H194:H199">$K$8</f>
        <v>1586.22</v>
      </c>
      <c r="I194" s="253">
        <f t="shared" si="186"/>
        <v>1491.39</v>
      </c>
      <c r="J194" s="56">
        <f t="shared" si="154"/>
        <v>89483.40000000001</v>
      </c>
      <c r="K194" s="76">
        <f t="shared" si="131"/>
        <v>95173.2</v>
      </c>
      <c r="L194" s="79">
        <f t="shared" si="196"/>
        <v>-5689.799999999988</v>
      </c>
      <c r="M194" s="77">
        <f t="shared" si="133"/>
        <v>-161.23230068264505</v>
      </c>
      <c r="N194" s="78">
        <f t="shared" si="197"/>
        <v>-5851.032300682634</v>
      </c>
      <c r="O194" s="16">
        <f t="shared" si="190"/>
        <v>0</v>
      </c>
      <c r="P194" s="16">
        <f t="shared" si="191"/>
        <v>0</v>
      </c>
      <c r="Q194" s="16">
        <f t="shared" si="192"/>
        <v>42</v>
      </c>
      <c r="R194" s="16">
        <f t="shared" si="179"/>
        <v>92</v>
      </c>
      <c r="S194" s="16">
        <f t="shared" si="179"/>
        <v>90</v>
      </c>
      <c r="T194" s="16">
        <f t="shared" si="179"/>
        <v>91</v>
      </c>
      <c r="U194" s="16">
        <f t="shared" si="179"/>
        <v>0</v>
      </c>
      <c r="V194" s="111">
        <f t="shared" si="194"/>
        <v>0</v>
      </c>
      <c r="W194" s="146">
        <f t="shared" si="195"/>
        <v>0</v>
      </c>
      <c r="X194" s="63">
        <f>($L194+SUM($W194:W194))*(P$11*P194)</f>
        <v>0</v>
      </c>
      <c r="Y194" s="63">
        <f>($L194+SUM($W194:X194))*(Q$11*Q194)</f>
        <v>-21.27829315068489</v>
      </c>
      <c r="Z194" s="63">
        <f>($L194+SUM($W194:Y194))*(R$11*R194)</f>
        <v>-46.783901634302765</v>
      </c>
      <c r="AA194" s="63">
        <f>($L194+SUM($W194:Z194))*(S$11*S194)</f>
        <v>-46.1417723828659</v>
      </c>
      <c r="AB194" s="63">
        <f>($L194+SUM($W194:AA194))*(T$11*T194)</f>
        <v>-47.02833351479149</v>
      </c>
      <c r="AC194" s="63">
        <f>($L194+SUM($W194:AB194))*(U$11*U194)</f>
        <v>0</v>
      </c>
      <c r="AD194" s="63">
        <f>($L194+SUM($W194:AC194))*(V$11*V194)</f>
        <v>0</v>
      </c>
      <c r="AE194" s="115">
        <f t="shared" si="193"/>
        <v>-161.23230068264505</v>
      </c>
    </row>
    <row r="195" spans="1:31" ht="12.75">
      <c r="A195" s="3">
        <v>8</v>
      </c>
      <c r="B195" s="15">
        <f t="shared" si="153"/>
        <v>41487</v>
      </c>
      <c r="C195" s="249">
        <f t="shared" si="188"/>
        <v>41522</v>
      </c>
      <c r="D195" s="249">
        <f t="shared" si="188"/>
        <v>41537</v>
      </c>
      <c r="E195" s="30" t="s">
        <v>224</v>
      </c>
      <c r="F195" s="3">
        <v>9</v>
      </c>
      <c r="G195" s="73">
        <v>59</v>
      </c>
      <c r="H195" s="253">
        <f t="shared" si="199"/>
        <v>1586.22</v>
      </c>
      <c r="I195" s="253">
        <f t="shared" si="186"/>
        <v>1491.39</v>
      </c>
      <c r="J195" s="56">
        <f t="shared" si="154"/>
        <v>87992.01000000001</v>
      </c>
      <c r="K195" s="76">
        <f t="shared" si="131"/>
        <v>93586.98</v>
      </c>
      <c r="L195" s="79">
        <f t="shared" si="196"/>
        <v>-5594.969999999987</v>
      </c>
      <c r="M195" s="77">
        <f t="shared" si="133"/>
        <v>-142.72298804939106</v>
      </c>
      <c r="N195" s="78">
        <f t="shared" si="197"/>
        <v>-5737.692988049378</v>
      </c>
      <c r="O195" s="16">
        <f t="shared" si="190"/>
        <v>0</v>
      </c>
      <c r="P195" s="16">
        <f t="shared" si="191"/>
        <v>0</v>
      </c>
      <c r="Q195" s="16">
        <f t="shared" si="192"/>
        <v>11</v>
      </c>
      <c r="R195" s="16">
        <f t="shared" si="179"/>
        <v>92</v>
      </c>
      <c r="S195" s="16">
        <f t="shared" si="179"/>
        <v>90</v>
      </c>
      <c r="T195" s="16">
        <f t="shared" si="179"/>
        <v>91</v>
      </c>
      <c r="U195" s="16">
        <f t="shared" si="179"/>
        <v>0</v>
      </c>
      <c r="V195" s="111">
        <f t="shared" si="194"/>
        <v>0</v>
      </c>
      <c r="W195" s="146">
        <f t="shared" si="195"/>
        <v>0</v>
      </c>
      <c r="X195" s="63">
        <f>($L195+SUM($W195:W195))*(P$11*P195)</f>
        <v>0</v>
      </c>
      <c r="Y195" s="63">
        <f>($L195+SUM($W195:X195))*(Q$11*Q195)</f>
        <v>-5.4800048630136855</v>
      </c>
      <c r="Z195" s="63">
        <f>($L195+SUM($W195:Y195))*(R$11*R195)</f>
        <v>-45.87765894394622</v>
      </c>
      <c r="AA195" s="63">
        <f>($L195+SUM($W195:Z195))*(S$11*S195)</f>
        <v>-45.24796826475429</v>
      </c>
      <c r="AB195" s="63">
        <f>($L195+SUM($W195:AA195))*(T$11*T195)</f>
        <v>-46.117355977676866</v>
      </c>
      <c r="AC195" s="63">
        <f>($L195+SUM($W195:AB195))*(U$11*U195)</f>
        <v>0</v>
      </c>
      <c r="AD195" s="63">
        <f>($L195+SUM($W195:AC195))*(V$11*V195)</f>
        <v>0</v>
      </c>
      <c r="AE195" s="115">
        <f t="shared" si="193"/>
        <v>-142.72298804939106</v>
      </c>
    </row>
    <row r="196" spans="1:31" ht="12.75">
      <c r="A196" s="3">
        <v>9</v>
      </c>
      <c r="B196" s="15">
        <f t="shared" si="153"/>
        <v>41518</v>
      </c>
      <c r="C196" s="249">
        <f t="shared" si="188"/>
        <v>41550</v>
      </c>
      <c r="D196" s="249">
        <f t="shared" si="188"/>
        <v>41565</v>
      </c>
      <c r="E196" s="30" t="s">
        <v>224</v>
      </c>
      <c r="F196" s="3">
        <v>9</v>
      </c>
      <c r="G196" s="73">
        <v>50</v>
      </c>
      <c r="H196" s="253">
        <f t="shared" si="199"/>
        <v>1586.22</v>
      </c>
      <c r="I196" s="253">
        <f t="shared" si="186"/>
        <v>1491.39</v>
      </c>
      <c r="J196" s="56">
        <f t="shared" si="154"/>
        <v>74569.5</v>
      </c>
      <c r="K196" s="76">
        <f t="shared" si="131"/>
        <v>79311</v>
      </c>
      <c r="L196" s="79">
        <f t="shared" si="196"/>
        <v>-4741.5</v>
      </c>
      <c r="M196" s="77">
        <f t="shared" si="133"/>
        <v>-108.90046758124994</v>
      </c>
      <c r="N196" s="78">
        <f t="shared" si="197"/>
        <v>-4850.40046758125</v>
      </c>
      <c r="O196" s="16">
        <f t="shared" si="190"/>
        <v>0</v>
      </c>
      <c r="P196" s="16">
        <f t="shared" si="191"/>
        <v>0</v>
      </c>
      <c r="Q196" s="16">
        <f t="shared" si="192"/>
        <v>0</v>
      </c>
      <c r="R196" s="16">
        <f aca="true" t="shared" si="200" ref="R196:R211">IF($D196&lt;R$8,R$12,IF($D196&lt;S$8,S$8-$D196,0))</f>
        <v>75</v>
      </c>
      <c r="S196" s="16">
        <f aca="true" t="shared" si="201" ref="S196:U211">IF($D196&lt;S$8,S$12,IF($D196&lt;T$8,T$8-$D196,0))</f>
        <v>90</v>
      </c>
      <c r="T196" s="16">
        <f t="shared" si="201"/>
        <v>91</v>
      </c>
      <c r="U196" s="16">
        <f t="shared" si="201"/>
        <v>0</v>
      </c>
      <c r="V196" s="111">
        <f t="shared" si="194"/>
        <v>0</v>
      </c>
      <c r="W196" s="146">
        <f t="shared" si="195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-31.66412671232877</v>
      </c>
      <c r="AA196" s="63">
        <f>($L196+SUM($W196:Z196))*(S$11*S196)</f>
        <v>-38.250698823653586</v>
      </c>
      <c r="AB196" s="63">
        <f>($L196+SUM($W196:AA196))*(T$11*T196)</f>
        <v>-38.98564204526758</v>
      </c>
      <c r="AC196" s="63">
        <f>($L196+SUM($W196:AB196))*(U$11*U196)</f>
        <v>0</v>
      </c>
      <c r="AD196" s="63">
        <f>($L196+SUM($W196:AC196))*(V$11*V196)</f>
        <v>0</v>
      </c>
      <c r="AE196" s="115">
        <f t="shared" si="193"/>
        <v>-108.90046758124994</v>
      </c>
    </row>
    <row r="197" spans="1:31" ht="12.75">
      <c r="A197" s="16">
        <v>10</v>
      </c>
      <c r="B197" s="15">
        <f t="shared" si="153"/>
        <v>41548</v>
      </c>
      <c r="C197" s="249">
        <f t="shared" si="188"/>
        <v>41583</v>
      </c>
      <c r="D197" s="249">
        <f t="shared" si="188"/>
        <v>41598</v>
      </c>
      <c r="E197" s="30" t="s">
        <v>224</v>
      </c>
      <c r="F197" s="3">
        <v>9</v>
      </c>
      <c r="G197" s="73">
        <v>48</v>
      </c>
      <c r="H197" s="253">
        <f t="shared" si="199"/>
        <v>1586.22</v>
      </c>
      <c r="I197" s="253">
        <f t="shared" si="186"/>
        <v>1491.39</v>
      </c>
      <c r="J197" s="56">
        <f t="shared" si="154"/>
        <v>71586.72</v>
      </c>
      <c r="K197" s="76">
        <f t="shared" si="131"/>
        <v>76138.56</v>
      </c>
      <c r="L197" s="79">
        <f t="shared" si="196"/>
        <v>-4551.8399999999965</v>
      </c>
      <c r="M197" s="77">
        <f t="shared" si="133"/>
        <v>-90.95309709321565</v>
      </c>
      <c r="N197" s="78">
        <f t="shared" si="197"/>
        <v>-4642.793097093212</v>
      </c>
      <c r="O197" s="16">
        <f t="shared" si="190"/>
        <v>0</v>
      </c>
      <c r="P197" s="16">
        <f t="shared" si="191"/>
        <v>0</v>
      </c>
      <c r="Q197" s="16">
        <f t="shared" si="192"/>
        <v>0</v>
      </c>
      <c r="R197" s="16">
        <f t="shared" si="200"/>
        <v>42</v>
      </c>
      <c r="S197" s="16">
        <f t="shared" si="201"/>
        <v>90</v>
      </c>
      <c r="T197" s="16">
        <f t="shared" si="201"/>
        <v>91</v>
      </c>
      <c r="U197" s="16">
        <f t="shared" si="201"/>
        <v>0</v>
      </c>
      <c r="V197" s="111">
        <f t="shared" si="194"/>
        <v>0</v>
      </c>
      <c r="W197" s="146">
        <f t="shared" si="195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-17.022634520547932</v>
      </c>
      <c r="AA197" s="63">
        <f>($L197+SUM($W197:Z197))*(S$11*S197)</f>
        <v>-36.61348823554135</v>
      </c>
      <c r="AB197" s="63">
        <f>($L197+SUM($W197:AA197))*(T$11*T197)</f>
        <v>-37.31697433712637</v>
      </c>
      <c r="AC197" s="63">
        <f>($L197+SUM($W197:AB197))*(U$11*U197)</f>
        <v>0</v>
      </c>
      <c r="AD197" s="63">
        <f>($L197+SUM($W197:AC197))*(V$11*V197)</f>
        <v>0</v>
      </c>
      <c r="AE197" s="115">
        <f t="shared" si="193"/>
        <v>-90.95309709321565</v>
      </c>
    </row>
    <row r="198" spans="1:31" ht="12.75">
      <c r="A198" s="3">
        <v>11</v>
      </c>
      <c r="B198" s="15">
        <f t="shared" si="153"/>
        <v>41579</v>
      </c>
      <c r="C198" s="249">
        <f t="shared" si="188"/>
        <v>41612</v>
      </c>
      <c r="D198" s="249">
        <f t="shared" si="188"/>
        <v>41627</v>
      </c>
      <c r="E198" s="30" t="s">
        <v>224</v>
      </c>
      <c r="F198" s="3">
        <v>9</v>
      </c>
      <c r="G198" s="73">
        <v>35</v>
      </c>
      <c r="H198" s="253">
        <f t="shared" si="199"/>
        <v>1586.22</v>
      </c>
      <c r="I198" s="253">
        <f t="shared" si="186"/>
        <v>1491.39</v>
      </c>
      <c r="J198" s="56">
        <f t="shared" si="154"/>
        <v>52198.65</v>
      </c>
      <c r="K198" s="76">
        <f aca="true" t="shared" si="202" ref="K198:K209">+$G198*H198</f>
        <v>55517.700000000004</v>
      </c>
      <c r="L198" s="79">
        <f t="shared" si="196"/>
        <v>-3319.050000000003</v>
      </c>
      <c r="M198" s="77">
        <f t="shared" si="133"/>
        <v>-57.61086179362894</v>
      </c>
      <c r="N198" s="78">
        <f t="shared" si="197"/>
        <v>-3376.6608617936317</v>
      </c>
      <c r="O198" s="16">
        <f t="shared" si="190"/>
        <v>0</v>
      </c>
      <c r="P198" s="16">
        <f t="shared" si="191"/>
        <v>0</v>
      </c>
      <c r="Q198" s="16">
        <f t="shared" si="192"/>
        <v>0</v>
      </c>
      <c r="R198" s="16">
        <f t="shared" si="200"/>
        <v>13</v>
      </c>
      <c r="S198" s="16">
        <f t="shared" si="201"/>
        <v>90</v>
      </c>
      <c r="T198" s="16">
        <f t="shared" si="201"/>
        <v>91</v>
      </c>
      <c r="U198" s="16">
        <f t="shared" si="201"/>
        <v>0</v>
      </c>
      <c r="V198" s="111">
        <f t="shared" si="194"/>
        <v>0</v>
      </c>
      <c r="W198" s="146">
        <f t="shared" si="195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-3.8419140410958934</v>
      </c>
      <c r="AA198" s="63">
        <f>($L198+SUM($W198:Z198))*(S$11*S198)</f>
        <v>-26.62865437964442</v>
      </c>
      <c r="AB198" s="63">
        <f>($L198+SUM($W198:AA198))*(T$11*T198)</f>
        <v>-27.140293372888625</v>
      </c>
      <c r="AC198" s="63">
        <f>($L198+SUM($W198:AB198))*(U$11*U198)</f>
        <v>0</v>
      </c>
      <c r="AD198" s="63">
        <f>($L198+SUM($W198:AC198))*(V$11*V198)</f>
        <v>0</v>
      </c>
      <c r="AE198" s="115">
        <f t="shared" si="193"/>
        <v>-57.61086179362894</v>
      </c>
    </row>
    <row r="199" spans="1:31" s="70" customFormat="1" ht="12.75">
      <c r="A199" s="3">
        <v>12</v>
      </c>
      <c r="B199" s="87">
        <f t="shared" si="153"/>
        <v>41609</v>
      </c>
      <c r="C199" s="249">
        <f t="shared" si="188"/>
        <v>41280</v>
      </c>
      <c r="D199" s="249">
        <f t="shared" si="188"/>
        <v>41295</v>
      </c>
      <c r="E199" s="88" t="s">
        <v>224</v>
      </c>
      <c r="F199" s="84">
        <v>9</v>
      </c>
      <c r="G199" s="89">
        <v>37</v>
      </c>
      <c r="H199" s="254">
        <f t="shared" si="199"/>
        <v>1586.22</v>
      </c>
      <c r="I199" s="254">
        <f t="shared" si="186"/>
        <v>1491.39</v>
      </c>
      <c r="J199" s="90">
        <f t="shared" si="154"/>
        <v>55181.43</v>
      </c>
      <c r="K199" s="91">
        <f t="shared" si="202"/>
        <v>58690.14</v>
      </c>
      <c r="L199" s="92">
        <f t="shared" si="196"/>
        <v>-3508.709999999999</v>
      </c>
      <c r="M199" s="93">
        <f t="shared" si="133"/>
        <v>-167.56767489556634</v>
      </c>
      <c r="N199" s="94">
        <f t="shared" si="197"/>
        <v>-3676.2776748955653</v>
      </c>
      <c r="O199" s="84">
        <f t="shared" si="190"/>
        <v>70</v>
      </c>
      <c r="P199" s="84">
        <f t="shared" si="191"/>
        <v>91</v>
      </c>
      <c r="Q199" s="84">
        <f t="shared" si="192"/>
        <v>92</v>
      </c>
      <c r="R199" s="84">
        <f t="shared" si="200"/>
        <v>92</v>
      </c>
      <c r="S199" s="84">
        <f t="shared" si="201"/>
        <v>90</v>
      </c>
      <c r="T199" s="84">
        <f t="shared" si="201"/>
        <v>91</v>
      </c>
      <c r="U199" s="84">
        <f t="shared" si="201"/>
        <v>0</v>
      </c>
      <c r="V199" s="112">
        <f t="shared" si="194"/>
        <v>0</v>
      </c>
      <c r="W199" s="147">
        <f t="shared" si="195"/>
        <v>-21.869356849315064</v>
      </c>
      <c r="X199" s="95">
        <f>($L199+SUM($W199:W199))*(P$11*P199)</f>
        <v>-28.607365610635195</v>
      </c>
      <c r="Y199" s="95">
        <f>($L199+SUM($W199:X199))*(Q$11*Q199)</f>
        <v>-29.156077534671912</v>
      </c>
      <c r="Z199" s="95">
        <f>($L199+SUM($W199:Y199))*(R$11*R199)</f>
        <v>-29.394917731462783</v>
      </c>
      <c r="AA199" s="95">
        <f>($L199+SUM($W199:Z199))*(S$11*S199)</f>
        <v>-28.991459792736425</v>
      </c>
      <c r="AB199" s="95">
        <f>($L199+SUM($W199:AA199))*(T$11*T199)</f>
        <v>-29.548497376744965</v>
      </c>
      <c r="AC199" s="95">
        <f>($L199+SUM($W199:AB199))*(U$11*U199)</f>
        <v>0</v>
      </c>
      <c r="AD199" s="95">
        <f>($L199+SUM($W199:AC199))*(V$11*V199)</f>
        <v>0</v>
      </c>
      <c r="AE199" s="116">
        <f t="shared" si="193"/>
        <v>-167.56767489556634</v>
      </c>
    </row>
    <row r="200" spans="1:31" ht="12.75">
      <c r="A200" s="16">
        <v>1</v>
      </c>
      <c r="B200" s="15">
        <f t="shared" si="153"/>
        <v>41275</v>
      </c>
      <c r="C200" s="248">
        <f t="shared" si="188"/>
        <v>41310</v>
      </c>
      <c r="D200" s="248">
        <f t="shared" si="188"/>
        <v>41325</v>
      </c>
      <c r="E200" s="123" t="s">
        <v>142</v>
      </c>
      <c r="F200" s="16">
        <v>9</v>
      </c>
      <c r="G200" s="73">
        <v>94</v>
      </c>
      <c r="H200" s="253">
        <f aca="true" t="shared" si="203" ref="H200:H205">$K$3</f>
        <v>1446.51</v>
      </c>
      <c r="I200" s="253">
        <f t="shared" si="186"/>
        <v>1491.39</v>
      </c>
      <c r="J200" s="56">
        <f t="shared" si="154"/>
        <v>140190.66</v>
      </c>
      <c r="K200" s="57">
        <f t="shared" si="202"/>
        <v>135971.94</v>
      </c>
      <c r="L200" s="58">
        <f t="shared" si="196"/>
        <v>4218.720000000001</v>
      </c>
      <c r="M200" s="55">
        <f aca="true" t="shared" si="204" ref="M200:M211">+AE200</f>
        <v>189.74183493834852</v>
      </c>
      <c r="N200" s="29">
        <f t="shared" si="197"/>
        <v>4408.46183493835</v>
      </c>
      <c r="O200" s="16">
        <f t="shared" si="190"/>
        <v>40</v>
      </c>
      <c r="P200" s="16">
        <f t="shared" si="191"/>
        <v>91</v>
      </c>
      <c r="Q200" s="16">
        <f t="shared" si="192"/>
        <v>92</v>
      </c>
      <c r="R200" s="16">
        <f t="shared" si="200"/>
        <v>92</v>
      </c>
      <c r="S200" s="16">
        <f t="shared" si="201"/>
        <v>90</v>
      </c>
      <c r="T200" s="16">
        <f t="shared" si="201"/>
        <v>91</v>
      </c>
      <c r="U200" s="16">
        <f t="shared" si="201"/>
        <v>0</v>
      </c>
      <c r="V200" s="111">
        <f>IF(W$8&lt;V$8,0,IF($D200&lt;V$8,V$12,IF($D200&lt;W$8,W$8-$D200,0)))</f>
        <v>0</v>
      </c>
      <c r="W200" s="146">
        <f>$L200*O$11*O200</f>
        <v>15.025578082191783</v>
      </c>
      <c r="X200" s="63">
        <f>($L200+SUM($W200:W200))*(P$11*P200)</f>
        <v>34.30493848541941</v>
      </c>
      <c r="Y200" s="63">
        <f>($L200+SUM($W200:X200))*(Q$11*Q200)</f>
        <v>34.96293436859496</v>
      </c>
      <c r="Z200" s="63">
        <f>($L200+SUM($W200:Y200))*(R$11*R200)</f>
        <v>35.249343063833585</v>
      </c>
      <c r="AA200" s="63">
        <f>($L200+SUM($W200:Z200))*(S$11*S200)</f>
        <v>34.765530609452384</v>
      </c>
      <c r="AB200" s="63">
        <f>($L200+SUM($W200:AA200))*(T$11*T200)</f>
        <v>35.43351032885637</v>
      </c>
      <c r="AC200" s="63">
        <f>($L200+SUM($W200:AB200))*(U$11*U200)</f>
        <v>0</v>
      </c>
      <c r="AD200" s="63">
        <f>($L200+SUM($W200:AC200))*(V$11*V200)</f>
        <v>0</v>
      </c>
      <c r="AE200" s="115">
        <f t="shared" si="193"/>
        <v>189.74183493834852</v>
      </c>
    </row>
    <row r="201" spans="1:31" ht="12.75">
      <c r="A201" s="3">
        <v>2</v>
      </c>
      <c r="B201" s="15">
        <f t="shared" si="153"/>
        <v>41306</v>
      </c>
      <c r="C201" s="249">
        <f t="shared" si="188"/>
        <v>41338</v>
      </c>
      <c r="D201" s="249">
        <f t="shared" si="188"/>
        <v>41353</v>
      </c>
      <c r="E201" s="71" t="s">
        <v>142</v>
      </c>
      <c r="F201" s="3">
        <v>9</v>
      </c>
      <c r="G201" s="73">
        <v>93</v>
      </c>
      <c r="H201" s="253">
        <f t="shared" si="203"/>
        <v>1446.51</v>
      </c>
      <c r="I201" s="253">
        <f t="shared" si="186"/>
        <v>1491.39</v>
      </c>
      <c r="J201" s="56">
        <f t="shared" si="154"/>
        <v>138699.27000000002</v>
      </c>
      <c r="K201" s="57">
        <f t="shared" si="202"/>
        <v>134525.43</v>
      </c>
      <c r="L201" s="58">
        <f t="shared" si="196"/>
        <v>4173.840000000026</v>
      </c>
      <c r="M201" s="55">
        <f t="shared" si="204"/>
        <v>176.88786222592486</v>
      </c>
      <c r="N201" s="29">
        <f t="shared" si="197"/>
        <v>4350.72786222595</v>
      </c>
      <c r="O201" s="16">
        <f aca="true" t="shared" si="205" ref="O201:U201">IF($D201&lt;O$8,O$12,IF($D201&lt;P$8,P$8-$D201,0))</f>
        <v>12</v>
      </c>
      <c r="P201" s="16">
        <f t="shared" si="205"/>
        <v>91</v>
      </c>
      <c r="Q201" s="16">
        <f t="shared" si="205"/>
        <v>92</v>
      </c>
      <c r="R201" s="16">
        <f t="shared" si="205"/>
        <v>92</v>
      </c>
      <c r="S201" s="16">
        <f t="shared" si="205"/>
        <v>90</v>
      </c>
      <c r="T201" s="16">
        <f t="shared" si="205"/>
        <v>91</v>
      </c>
      <c r="U201" s="16">
        <f t="shared" si="205"/>
        <v>0</v>
      </c>
      <c r="V201" s="111">
        <f>IF(W$8&lt;V$8,0,IF($D201&lt;V$8,V$12,IF($D201&lt;W$8,W$8-$D201,0)))</f>
        <v>0</v>
      </c>
      <c r="W201" s="146">
        <f>$L201*O$11*O201</f>
        <v>4.459719452054822</v>
      </c>
      <c r="X201" s="63">
        <f>($L201+SUM($W201:W201))*(P$11*P201)</f>
        <v>33.8556751240535</v>
      </c>
      <c r="Y201" s="63">
        <f>($L201+SUM($W201:X201))*(Q$11*Q201)</f>
        <v>34.50505378022641</v>
      </c>
      <c r="Z201" s="63">
        <f>($L201+SUM($W201:Y201))*(R$11*R201)</f>
        <v>34.787711618042515</v>
      </c>
      <c r="AA201" s="63">
        <f>($L201+SUM($W201:Z201))*(S$11*S201)</f>
        <v>34.310235254589394</v>
      </c>
      <c r="AB201" s="63">
        <f>($L201+SUM($W201:AA201))*(T$11*T201)</f>
        <v>34.969466996958204</v>
      </c>
      <c r="AC201" s="63">
        <f>($L201+SUM($W201:AB201))*(U$11*U201)</f>
        <v>0</v>
      </c>
      <c r="AD201" s="63">
        <f>($L201+SUM($W201:AC201))*(V$11*V201)</f>
        <v>0</v>
      </c>
      <c r="AE201" s="115">
        <f>SUM(W201:AD201)</f>
        <v>176.88786222592486</v>
      </c>
    </row>
    <row r="202" spans="1:31" ht="12.75">
      <c r="A202" s="3">
        <v>3</v>
      </c>
      <c r="B202" s="15">
        <f t="shared" si="153"/>
        <v>41334</v>
      </c>
      <c r="C202" s="249">
        <f t="shared" si="188"/>
        <v>41367</v>
      </c>
      <c r="D202" s="249">
        <f t="shared" si="188"/>
        <v>41382</v>
      </c>
      <c r="E202" s="71" t="s">
        <v>142</v>
      </c>
      <c r="F202" s="3">
        <v>9</v>
      </c>
      <c r="G202" s="73">
        <v>96</v>
      </c>
      <c r="H202" s="253">
        <f t="shared" si="203"/>
        <v>1446.51</v>
      </c>
      <c r="I202" s="253">
        <f t="shared" si="186"/>
        <v>1491.39</v>
      </c>
      <c r="J202" s="56">
        <f t="shared" si="154"/>
        <v>143173.44</v>
      </c>
      <c r="K202" s="57">
        <f t="shared" si="202"/>
        <v>138864.96</v>
      </c>
      <c r="L202" s="58">
        <f>+J202-K202</f>
        <v>4308.4800000000105</v>
      </c>
      <c r="M202" s="55">
        <f t="shared" si="204"/>
        <v>171.06406845634191</v>
      </c>
      <c r="N202" s="29">
        <f>SUM(L202:M202)</f>
        <v>4479.544068456353</v>
      </c>
      <c r="O202" s="16">
        <f t="shared" si="190"/>
        <v>0</v>
      </c>
      <c r="P202" s="16">
        <f t="shared" si="191"/>
        <v>74</v>
      </c>
      <c r="Q202" s="16">
        <f t="shared" si="192"/>
        <v>92</v>
      </c>
      <c r="R202" s="16">
        <f t="shared" si="200"/>
        <v>92</v>
      </c>
      <c r="S202" s="16">
        <f t="shared" si="201"/>
        <v>90</v>
      </c>
      <c r="T202" s="16">
        <f t="shared" si="201"/>
        <v>91</v>
      </c>
      <c r="U202" s="16">
        <f t="shared" si="201"/>
        <v>0</v>
      </c>
      <c r="V202" s="111">
        <f aca="true" t="shared" si="206" ref="V202:V211">IF(W$8&lt;V$8,0,IF($D202&lt;V$8,V$12,IF($D202&lt;W$8,W$8-$D202,0)))</f>
        <v>0</v>
      </c>
      <c r="W202" s="146">
        <f aca="true" t="shared" si="207" ref="W202:W211">$L202*O$11*O202</f>
        <v>0</v>
      </c>
      <c r="X202" s="63">
        <f>($L202+SUM($W202:W202))*(P$11*P202)</f>
        <v>28.388751780821984</v>
      </c>
      <c r="Y202" s="63">
        <f>($L202+SUM($W202:X202))*(Q$11*Q202)</f>
        <v>35.52667826801284</v>
      </c>
      <c r="Z202" s="63">
        <f>($L202+SUM($W202:Y202))*(R$11*R202)</f>
        <v>35.81770502971519</v>
      </c>
      <c r="AA202" s="63">
        <f>($L202+SUM($W202:Z202))*(S$11*S202)</f>
        <v>35.32609156193092</v>
      </c>
      <c r="AB202" s="63">
        <f>($L202+SUM($W202:AA202))*(T$11*T202)</f>
        <v>36.00484181586097</v>
      </c>
      <c r="AC202" s="63">
        <f>($L202+SUM($W202:AB202))*(U$11*U202)</f>
        <v>0</v>
      </c>
      <c r="AD202" s="63">
        <f>($L202+SUM($W202:AC202))*(V$11*V202)</f>
        <v>0</v>
      </c>
      <c r="AE202" s="115">
        <f t="shared" si="193"/>
        <v>171.06406845634191</v>
      </c>
    </row>
    <row r="203" spans="1:31" ht="12.75">
      <c r="A203" s="16">
        <v>4</v>
      </c>
      <c r="B203" s="15">
        <f t="shared" si="153"/>
        <v>41365</v>
      </c>
      <c r="C203" s="249">
        <f t="shared" si="188"/>
        <v>41397</v>
      </c>
      <c r="D203" s="249">
        <f t="shared" si="188"/>
        <v>41414</v>
      </c>
      <c r="E203" s="71" t="s">
        <v>142</v>
      </c>
      <c r="F203" s="3">
        <v>9</v>
      </c>
      <c r="G203" s="73">
        <v>94</v>
      </c>
      <c r="H203" s="253">
        <f t="shared" si="203"/>
        <v>1446.51</v>
      </c>
      <c r="I203" s="253">
        <f t="shared" si="186"/>
        <v>1491.39</v>
      </c>
      <c r="J203" s="56">
        <f t="shared" si="154"/>
        <v>140190.66</v>
      </c>
      <c r="K203" s="57">
        <f t="shared" si="202"/>
        <v>135971.94</v>
      </c>
      <c r="L203" s="58">
        <f aca="true" t="shared" si="208" ref="L203:L211">+J203-K203</f>
        <v>4218.720000000001</v>
      </c>
      <c r="M203" s="55">
        <f t="shared" si="204"/>
        <v>155.08431926168873</v>
      </c>
      <c r="N203" s="29">
        <f aca="true" t="shared" si="209" ref="N203:N211">SUM(L203:M203)</f>
        <v>4373.80431926169</v>
      </c>
      <c r="O203" s="16">
        <f t="shared" si="190"/>
        <v>0</v>
      </c>
      <c r="P203" s="16">
        <f t="shared" si="191"/>
        <v>42</v>
      </c>
      <c r="Q203" s="16">
        <f t="shared" si="192"/>
        <v>92</v>
      </c>
      <c r="R203" s="16">
        <f t="shared" si="200"/>
        <v>92</v>
      </c>
      <c r="S203" s="16">
        <f t="shared" si="201"/>
        <v>90</v>
      </c>
      <c r="T203" s="16">
        <f t="shared" si="201"/>
        <v>91</v>
      </c>
      <c r="U203" s="16">
        <f t="shared" si="201"/>
        <v>0</v>
      </c>
      <c r="V203" s="111">
        <f t="shared" si="206"/>
        <v>0</v>
      </c>
      <c r="W203" s="146">
        <f t="shared" si="207"/>
        <v>0</v>
      </c>
      <c r="X203" s="63">
        <f>($L203+SUM($W203:W203))*(P$11*P203)</f>
        <v>15.776856986301375</v>
      </c>
      <c r="Y203" s="63">
        <f>($L203+SUM($W203:X203))*(Q$11*Q203)</f>
        <v>34.688070143531625</v>
      </c>
      <c r="Z203" s="63">
        <f>($L203+SUM($W203:Y203))*(R$11*R203)</f>
        <v>34.97222721128275</v>
      </c>
      <c r="AA203" s="63">
        <f>($L203+SUM($W203:Z203))*(S$11*S203)</f>
        <v>34.49221829163772</v>
      </c>
      <c r="AB203" s="63">
        <f>($L203+SUM($W203:AA203))*(T$11*T203)</f>
        <v>35.154946628935264</v>
      </c>
      <c r="AC203" s="63">
        <f>($L203+SUM($W203:AB203))*(U$11*U203)</f>
        <v>0</v>
      </c>
      <c r="AD203" s="63">
        <f>($L203+SUM($W203:AC203))*(V$11*V203)</f>
        <v>0</v>
      </c>
      <c r="AE203" s="115">
        <f t="shared" si="193"/>
        <v>155.08431926168873</v>
      </c>
    </row>
    <row r="204" spans="1:31" ht="12.75">
      <c r="A204" s="3">
        <v>5</v>
      </c>
      <c r="B204" s="15">
        <f t="shared" si="153"/>
        <v>41395</v>
      </c>
      <c r="C204" s="249">
        <f t="shared" si="188"/>
        <v>41430</v>
      </c>
      <c r="D204" s="249">
        <f t="shared" si="188"/>
        <v>41445</v>
      </c>
      <c r="E204" s="30" t="s">
        <v>142</v>
      </c>
      <c r="F204" s="3">
        <v>9</v>
      </c>
      <c r="G204" s="73">
        <v>106</v>
      </c>
      <c r="H204" s="253">
        <f t="shared" si="203"/>
        <v>1446.51</v>
      </c>
      <c r="I204" s="253">
        <f t="shared" si="186"/>
        <v>1491.39</v>
      </c>
      <c r="J204" s="56">
        <f t="shared" si="154"/>
        <v>158087.34</v>
      </c>
      <c r="K204" s="57">
        <f t="shared" si="202"/>
        <v>153330.06</v>
      </c>
      <c r="L204" s="58">
        <f t="shared" si="208"/>
        <v>4757.279999999999</v>
      </c>
      <c r="M204" s="55">
        <f t="shared" si="204"/>
        <v>161.3189215763827</v>
      </c>
      <c r="N204" s="29">
        <f t="shared" si="209"/>
        <v>4918.598921576381</v>
      </c>
      <c r="O204" s="16">
        <f t="shared" si="190"/>
        <v>0</v>
      </c>
      <c r="P204" s="16">
        <f t="shared" si="191"/>
        <v>11</v>
      </c>
      <c r="Q204" s="16">
        <f t="shared" si="192"/>
        <v>92</v>
      </c>
      <c r="R204" s="16">
        <f t="shared" si="200"/>
        <v>92</v>
      </c>
      <c r="S204" s="16">
        <f t="shared" si="201"/>
        <v>90</v>
      </c>
      <c r="T204" s="16">
        <f t="shared" si="201"/>
        <v>91</v>
      </c>
      <c r="U204" s="16">
        <f t="shared" si="201"/>
        <v>0</v>
      </c>
      <c r="V204" s="111">
        <f t="shared" si="206"/>
        <v>0</v>
      </c>
      <c r="W204" s="146">
        <f t="shared" si="207"/>
        <v>0</v>
      </c>
      <c r="X204" s="63">
        <f>($L204+SUM($W204:W204))*(P$11*P204)</f>
        <v>4.659527671232875</v>
      </c>
      <c r="Y204" s="63">
        <f>($L204+SUM($W204:X204))*(Q$11*Q204)</f>
        <v>39.00876489790954</v>
      </c>
      <c r="Z204" s="63">
        <f>($L204+SUM($W204:Y204))*(R$11*R204)</f>
        <v>39.328316150086934</v>
      </c>
      <c r="AA204" s="63">
        <f>($L204+SUM($W204:Z204))*(S$11*S204)</f>
        <v>38.788518028777375</v>
      </c>
      <c r="AB204" s="63">
        <f>($L204+SUM($W204:AA204))*(T$11*T204)</f>
        <v>39.53379482837596</v>
      </c>
      <c r="AC204" s="63">
        <f>($L204+SUM($W204:AB204))*(U$11*U204)</f>
        <v>0</v>
      </c>
      <c r="AD204" s="63">
        <f>($L204+SUM($W204:AC204))*(V$11*V204)</f>
        <v>0</v>
      </c>
      <c r="AE204" s="115">
        <f t="shared" si="193"/>
        <v>161.3189215763827</v>
      </c>
    </row>
    <row r="205" spans="1:31" ht="12.75">
      <c r="A205" s="3">
        <v>6</v>
      </c>
      <c r="B205" s="15">
        <f t="shared" si="153"/>
        <v>41426</v>
      </c>
      <c r="C205" s="249">
        <f t="shared" si="188"/>
        <v>41460</v>
      </c>
      <c r="D205" s="249">
        <f t="shared" si="188"/>
        <v>41477</v>
      </c>
      <c r="E205" s="30" t="s">
        <v>142</v>
      </c>
      <c r="F205" s="3">
        <v>9</v>
      </c>
      <c r="G205" s="73">
        <v>99</v>
      </c>
      <c r="H205" s="253">
        <f t="shared" si="203"/>
        <v>1446.51</v>
      </c>
      <c r="I205" s="253">
        <f t="shared" si="186"/>
        <v>1491.39</v>
      </c>
      <c r="J205" s="56">
        <f t="shared" si="154"/>
        <v>147647.61000000002</v>
      </c>
      <c r="K205" s="57">
        <f t="shared" si="202"/>
        <v>143204.49</v>
      </c>
      <c r="L205" s="79">
        <f t="shared" si="208"/>
        <v>4443.120000000024</v>
      </c>
      <c r="M205" s="80">
        <f t="shared" si="204"/>
        <v>137.65917515391118</v>
      </c>
      <c r="N205" s="78">
        <f t="shared" si="209"/>
        <v>4580.779175153935</v>
      </c>
      <c r="O205" s="16">
        <f t="shared" si="190"/>
        <v>0</v>
      </c>
      <c r="P205" s="16">
        <f t="shared" si="191"/>
        <v>0</v>
      </c>
      <c r="Q205" s="16">
        <f t="shared" si="192"/>
        <v>71</v>
      </c>
      <c r="R205" s="16">
        <f t="shared" si="200"/>
        <v>92</v>
      </c>
      <c r="S205" s="16">
        <f t="shared" si="201"/>
        <v>90</v>
      </c>
      <c r="T205" s="16">
        <f t="shared" si="201"/>
        <v>91</v>
      </c>
      <c r="U205" s="16">
        <f t="shared" si="201"/>
        <v>0</v>
      </c>
      <c r="V205" s="111">
        <f t="shared" si="206"/>
        <v>0</v>
      </c>
      <c r="W205" s="146">
        <f t="shared" si="207"/>
        <v>0</v>
      </c>
      <c r="X205" s="63">
        <f>($L205+SUM($W205:W205))*(P$11*P205)</f>
        <v>0</v>
      </c>
      <c r="Y205" s="63">
        <f>($L205+SUM($W205:X205))*(Q$11*Q205)</f>
        <v>28.089039452054948</v>
      </c>
      <c r="Z205" s="63">
        <f>($L205+SUM($W205:Y205))*(R$11*R205)</f>
        <v>36.627164460169084</v>
      </c>
      <c r="AA205" s="63">
        <f>($L205+SUM($W205:Z205))*(S$11*S205)</f>
        <v>36.124440812173496</v>
      </c>
      <c r="AB205" s="63">
        <f>($L205+SUM($W205:AA205))*(T$11*T205)</f>
        <v>36.81853042951364</v>
      </c>
      <c r="AC205" s="63">
        <f>($L205+SUM($W205:AB205))*(U$11*U205)</f>
        <v>0</v>
      </c>
      <c r="AD205" s="63">
        <f>($L205+SUM($W205:AC205))*(V$11*V205)</f>
        <v>0</v>
      </c>
      <c r="AE205" s="115">
        <f t="shared" si="193"/>
        <v>137.65917515391118</v>
      </c>
    </row>
    <row r="206" spans="1:31" ht="12.75">
      <c r="A206" s="16">
        <v>7</v>
      </c>
      <c r="B206" s="15">
        <f t="shared" si="153"/>
        <v>41456</v>
      </c>
      <c r="C206" s="249">
        <f t="shared" si="188"/>
        <v>41491</v>
      </c>
      <c r="D206" s="249">
        <f t="shared" si="188"/>
        <v>41506</v>
      </c>
      <c r="E206" s="30" t="s">
        <v>142</v>
      </c>
      <c r="F206" s="3">
        <v>9</v>
      </c>
      <c r="G206" s="73">
        <v>82</v>
      </c>
      <c r="H206" s="253">
        <f aca="true" t="shared" si="210" ref="H206:H211">$K$8</f>
        <v>1586.22</v>
      </c>
      <c r="I206" s="253">
        <f t="shared" si="186"/>
        <v>1491.39</v>
      </c>
      <c r="J206" s="56">
        <f t="shared" si="154"/>
        <v>122293.98000000001</v>
      </c>
      <c r="K206" s="76">
        <f t="shared" si="202"/>
        <v>130070.04000000001</v>
      </c>
      <c r="L206" s="79">
        <f t="shared" si="208"/>
        <v>-7776.059999999998</v>
      </c>
      <c r="M206" s="77">
        <f t="shared" si="204"/>
        <v>-220.3508109329486</v>
      </c>
      <c r="N206" s="78">
        <f t="shared" si="209"/>
        <v>-7996.410810932946</v>
      </c>
      <c r="O206" s="16">
        <f t="shared" si="190"/>
        <v>0</v>
      </c>
      <c r="P206" s="16">
        <f t="shared" si="191"/>
        <v>0</v>
      </c>
      <c r="Q206" s="16">
        <f t="shared" si="192"/>
        <v>42</v>
      </c>
      <c r="R206" s="16">
        <f t="shared" si="200"/>
        <v>92</v>
      </c>
      <c r="S206" s="16">
        <f t="shared" si="201"/>
        <v>90</v>
      </c>
      <c r="T206" s="16">
        <f t="shared" si="201"/>
        <v>91</v>
      </c>
      <c r="U206" s="16">
        <f t="shared" si="201"/>
        <v>0</v>
      </c>
      <c r="V206" s="111">
        <f t="shared" si="206"/>
        <v>0</v>
      </c>
      <c r="W206" s="146">
        <f t="shared" si="207"/>
        <v>0</v>
      </c>
      <c r="X206" s="63">
        <f>($L206+SUM($W206:W206))*(P$11*P206)</f>
        <v>0</v>
      </c>
      <c r="Y206" s="63">
        <f>($L206+SUM($W206:X206))*(Q$11*Q206)</f>
        <v>-29.08033397260273</v>
      </c>
      <c r="Z206" s="63">
        <f>($L206+SUM($W206:Y206))*(R$11*R206)</f>
        <v>-63.9379989002139</v>
      </c>
      <c r="AA206" s="63">
        <f>($L206+SUM($W206:Z206))*(S$11*S206)</f>
        <v>-63.0604222565835</v>
      </c>
      <c r="AB206" s="63">
        <f>($L206+SUM($W206:AA206))*(T$11*T206)</f>
        <v>-64.27205580354847</v>
      </c>
      <c r="AC206" s="63">
        <f>($L206+SUM($W206:AB206))*(U$11*U206)</f>
        <v>0</v>
      </c>
      <c r="AD206" s="63">
        <f>($L206+SUM($W206:AC206))*(V$11*V206)</f>
        <v>0</v>
      </c>
      <c r="AE206" s="115">
        <f t="shared" si="193"/>
        <v>-220.3508109329486</v>
      </c>
    </row>
    <row r="207" spans="1:31" ht="12.75">
      <c r="A207" s="3">
        <v>8</v>
      </c>
      <c r="B207" s="15">
        <f t="shared" si="153"/>
        <v>41487</v>
      </c>
      <c r="C207" s="249">
        <f t="shared" si="188"/>
        <v>41522</v>
      </c>
      <c r="D207" s="249">
        <f t="shared" si="188"/>
        <v>41537</v>
      </c>
      <c r="E207" s="30" t="s">
        <v>142</v>
      </c>
      <c r="F207" s="3">
        <v>9</v>
      </c>
      <c r="G207" s="73">
        <v>115</v>
      </c>
      <c r="H207" s="253">
        <f t="shared" si="210"/>
        <v>1586.22</v>
      </c>
      <c r="I207" s="253">
        <f t="shared" si="186"/>
        <v>1491.39</v>
      </c>
      <c r="J207" s="56">
        <f t="shared" si="154"/>
        <v>171509.85</v>
      </c>
      <c r="K207" s="76">
        <f t="shared" si="202"/>
        <v>182415.30000000002</v>
      </c>
      <c r="L207" s="79">
        <f t="shared" si="208"/>
        <v>-10905.450000000012</v>
      </c>
      <c r="M207" s="77">
        <f t="shared" si="204"/>
        <v>-278.1888750115259</v>
      </c>
      <c r="N207" s="78">
        <f t="shared" si="209"/>
        <v>-11183.638875011538</v>
      </c>
      <c r="O207" s="16">
        <f t="shared" si="190"/>
        <v>0</v>
      </c>
      <c r="P207" s="16">
        <f t="shared" si="191"/>
        <v>0</v>
      </c>
      <c r="Q207" s="16">
        <f t="shared" si="192"/>
        <v>11</v>
      </c>
      <c r="R207" s="16">
        <f t="shared" si="200"/>
        <v>92</v>
      </c>
      <c r="S207" s="16">
        <f t="shared" si="201"/>
        <v>90</v>
      </c>
      <c r="T207" s="16">
        <f t="shared" si="201"/>
        <v>91</v>
      </c>
      <c r="U207" s="16">
        <f t="shared" si="201"/>
        <v>0</v>
      </c>
      <c r="V207" s="111">
        <f t="shared" si="206"/>
        <v>0</v>
      </c>
      <c r="W207" s="146">
        <f t="shared" si="207"/>
        <v>0</v>
      </c>
      <c r="X207" s="63">
        <f>($L207+SUM($W207:W207))*(P$11*P207)</f>
        <v>0</v>
      </c>
      <c r="Y207" s="63">
        <f>($L207+SUM($W207:X207))*(Q$11*Q207)</f>
        <v>-10.681365410958914</v>
      </c>
      <c r="Z207" s="63">
        <f>($L207+SUM($W207:Y207))*(R$11*R207)</f>
        <v>-89.42255556870904</v>
      </c>
      <c r="AA207" s="63">
        <f>($L207+SUM($W207:Z207))*(S$11*S207)</f>
        <v>-88.19519238045359</v>
      </c>
      <c r="AB207" s="63">
        <f>($L207+SUM($W207:AA207))*(T$11*T207)</f>
        <v>-89.88976165140436</v>
      </c>
      <c r="AC207" s="63">
        <f>($L207+SUM($W207:AB207))*(U$11*U207)</f>
        <v>0</v>
      </c>
      <c r="AD207" s="63">
        <f>($L207+SUM($W207:AC207))*(V$11*V207)</f>
        <v>0</v>
      </c>
      <c r="AE207" s="115">
        <f t="shared" si="193"/>
        <v>-278.1888750115259</v>
      </c>
    </row>
    <row r="208" spans="1:31" ht="12.75">
      <c r="A208" s="3">
        <v>9</v>
      </c>
      <c r="B208" s="15">
        <f t="shared" si="153"/>
        <v>41518</v>
      </c>
      <c r="C208" s="249">
        <f t="shared" si="188"/>
        <v>41550</v>
      </c>
      <c r="D208" s="249">
        <f t="shared" si="188"/>
        <v>41565</v>
      </c>
      <c r="E208" s="30" t="s">
        <v>142</v>
      </c>
      <c r="F208" s="3">
        <v>9</v>
      </c>
      <c r="G208" s="73">
        <v>78</v>
      </c>
      <c r="H208" s="253">
        <f t="shared" si="210"/>
        <v>1586.22</v>
      </c>
      <c r="I208" s="253">
        <f t="shared" si="186"/>
        <v>1491.39</v>
      </c>
      <c r="J208" s="56">
        <f t="shared" si="154"/>
        <v>116328.42000000001</v>
      </c>
      <c r="K208" s="76">
        <f t="shared" si="202"/>
        <v>123725.16</v>
      </c>
      <c r="L208" s="79">
        <f t="shared" si="208"/>
        <v>-7396.739999999991</v>
      </c>
      <c r="M208" s="77">
        <f t="shared" si="204"/>
        <v>-169.8847294267497</v>
      </c>
      <c r="N208" s="78">
        <f t="shared" si="209"/>
        <v>-7566.6247294267405</v>
      </c>
      <c r="O208" s="16">
        <f t="shared" si="190"/>
        <v>0</v>
      </c>
      <c r="P208" s="16">
        <f t="shared" si="191"/>
        <v>0</v>
      </c>
      <c r="Q208" s="16">
        <f t="shared" si="192"/>
        <v>0</v>
      </c>
      <c r="R208" s="16">
        <f t="shared" si="200"/>
        <v>75</v>
      </c>
      <c r="S208" s="16">
        <f t="shared" si="201"/>
        <v>90</v>
      </c>
      <c r="T208" s="16">
        <f t="shared" si="201"/>
        <v>91</v>
      </c>
      <c r="U208" s="16">
        <f t="shared" si="201"/>
        <v>0</v>
      </c>
      <c r="V208" s="111">
        <f t="shared" si="206"/>
        <v>0</v>
      </c>
      <c r="W208" s="146">
        <f t="shared" si="207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-49.39603767123282</v>
      </c>
      <c r="AA208" s="63">
        <f>($L208+SUM($W208:Z208))*(S$11*S208)</f>
        <v>-59.671090164899525</v>
      </c>
      <c r="AB208" s="63">
        <f>($L208+SUM($W208:AA208))*(T$11*T208)</f>
        <v>-60.81760159061736</v>
      </c>
      <c r="AC208" s="63">
        <f>($L208+SUM($W208:AB208))*(U$11*U208)</f>
        <v>0</v>
      </c>
      <c r="AD208" s="63">
        <f>($L208+SUM($W208:AC208))*(V$11*V208)</f>
        <v>0</v>
      </c>
      <c r="AE208" s="115">
        <f t="shared" si="193"/>
        <v>-169.8847294267497</v>
      </c>
    </row>
    <row r="209" spans="1:31" ht="12.75">
      <c r="A209" s="16">
        <v>10</v>
      </c>
      <c r="B209" s="15">
        <f t="shared" si="153"/>
        <v>41548</v>
      </c>
      <c r="C209" s="249">
        <f t="shared" si="188"/>
        <v>41583</v>
      </c>
      <c r="D209" s="249">
        <f t="shared" si="188"/>
        <v>41598</v>
      </c>
      <c r="E209" s="30" t="s">
        <v>142</v>
      </c>
      <c r="F209" s="3">
        <v>9</v>
      </c>
      <c r="G209" s="73">
        <v>113</v>
      </c>
      <c r="H209" s="253">
        <f t="shared" si="210"/>
        <v>1586.22</v>
      </c>
      <c r="I209" s="253">
        <f t="shared" si="186"/>
        <v>1491.39</v>
      </c>
      <c r="J209" s="56">
        <f t="shared" si="154"/>
        <v>168527.07</v>
      </c>
      <c r="K209" s="76">
        <f t="shared" si="202"/>
        <v>179242.86000000002</v>
      </c>
      <c r="L209" s="79">
        <f t="shared" si="208"/>
        <v>-10715.790000000008</v>
      </c>
      <c r="M209" s="77">
        <f t="shared" si="204"/>
        <v>-214.11874940694548</v>
      </c>
      <c r="N209" s="78">
        <f t="shared" si="209"/>
        <v>-10929.908749406954</v>
      </c>
      <c r="O209" s="16">
        <f t="shared" si="190"/>
        <v>0</v>
      </c>
      <c r="P209" s="16">
        <f t="shared" si="191"/>
        <v>0</v>
      </c>
      <c r="Q209" s="16">
        <f t="shared" si="192"/>
        <v>0</v>
      </c>
      <c r="R209" s="16">
        <f t="shared" si="200"/>
        <v>42</v>
      </c>
      <c r="S209" s="16">
        <f t="shared" si="201"/>
        <v>90</v>
      </c>
      <c r="T209" s="16">
        <f t="shared" si="201"/>
        <v>91</v>
      </c>
      <c r="U209" s="16">
        <f t="shared" si="201"/>
        <v>0</v>
      </c>
      <c r="V209" s="111">
        <f t="shared" si="206"/>
        <v>0</v>
      </c>
      <c r="W209" s="146">
        <f t="shared" si="207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-40.074118767123316</v>
      </c>
      <c r="AA209" s="63">
        <f>($L209+SUM($W209:Z209))*(S$11*S209)</f>
        <v>-86.19425355450372</v>
      </c>
      <c r="AB209" s="63">
        <f>($L209+SUM($W209:AA209))*(T$11*T209)</f>
        <v>-87.85037708531846</v>
      </c>
      <c r="AC209" s="63">
        <f>($L209+SUM($W209:AB209))*(U$11*U209)</f>
        <v>0</v>
      </c>
      <c r="AD209" s="63">
        <f>($L209+SUM($W209:AC209))*(V$11*V209)</f>
        <v>0</v>
      </c>
      <c r="AE209" s="115">
        <f t="shared" si="193"/>
        <v>-214.11874940694548</v>
      </c>
    </row>
    <row r="210" spans="1:31" ht="12.75">
      <c r="A210" s="3">
        <v>11</v>
      </c>
      <c r="B210" s="15">
        <f t="shared" si="153"/>
        <v>41579</v>
      </c>
      <c r="C210" s="249">
        <f t="shared" si="188"/>
        <v>41612</v>
      </c>
      <c r="D210" s="249">
        <f t="shared" si="188"/>
        <v>41627</v>
      </c>
      <c r="E210" s="30" t="s">
        <v>142</v>
      </c>
      <c r="F210" s="3">
        <v>9</v>
      </c>
      <c r="G210" s="73">
        <v>107</v>
      </c>
      <c r="H210" s="253">
        <f t="shared" si="210"/>
        <v>1586.22</v>
      </c>
      <c r="I210" s="253">
        <f t="shared" si="186"/>
        <v>1491.39</v>
      </c>
      <c r="J210" s="56">
        <f t="shared" si="154"/>
        <v>159578.73</v>
      </c>
      <c r="K210" s="76">
        <f>+$G210*H210</f>
        <v>169725.54</v>
      </c>
      <c r="L210" s="79">
        <f t="shared" si="208"/>
        <v>-10146.809999999998</v>
      </c>
      <c r="M210" s="77">
        <f t="shared" si="204"/>
        <v>-176.12463462623685</v>
      </c>
      <c r="N210" s="78">
        <f t="shared" si="209"/>
        <v>-10322.934634626234</v>
      </c>
      <c r="O210" s="16">
        <f t="shared" si="190"/>
        <v>0</v>
      </c>
      <c r="P210" s="16">
        <f t="shared" si="191"/>
        <v>0</v>
      </c>
      <c r="Q210" s="16">
        <f t="shared" si="192"/>
        <v>0</v>
      </c>
      <c r="R210" s="16">
        <f t="shared" si="200"/>
        <v>13</v>
      </c>
      <c r="S210" s="16">
        <f t="shared" si="201"/>
        <v>90</v>
      </c>
      <c r="T210" s="16">
        <f t="shared" si="201"/>
        <v>91</v>
      </c>
      <c r="U210" s="16">
        <f t="shared" si="201"/>
        <v>0</v>
      </c>
      <c r="V210" s="111">
        <f t="shared" si="206"/>
        <v>0</v>
      </c>
      <c r="W210" s="146">
        <f t="shared" si="207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-11.745280068493146</v>
      </c>
      <c r="AA210" s="63">
        <f>($L210+SUM($W210:Z210))*(S$11*S210)</f>
        <v>-81.40760053205571</v>
      </c>
      <c r="AB210" s="63">
        <f>($L210+SUM($W210:AA210))*(T$11*T210)</f>
        <v>-82.97175402568799</v>
      </c>
      <c r="AC210" s="63">
        <f>($L210+SUM($W210:AB210))*(U$11*U210)</f>
        <v>0</v>
      </c>
      <c r="AD210" s="63">
        <f>($L210+SUM($W210:AC210))*(V$11*V210)</f>
        <v>0</v>
      </c>
      <c r="AE210" s="115">
        <f t="shared" si="193"/>
        <v>-176.12463462623685</v>
      </c>
    </row>
    <row r="211" spans="1:31" s="70" customFormat="1" ht="12.75">
      <c r="A211" s="3">
        <v>12</v>
      </c>
      <c r="B211" s="87">
        <f t="shared" si="153"/>
        <v>41609</v>
      </c>
      <c r="C211" s="270">
        <f t="shared" si="188"/>
        <v>41280</v>
      </c>
      <c r="D211" s="270">
        <f t="shared" si="188"/>
        <v>41295</v>
      </c>
      <c r="E211" s="88" t="s">
        <v>142</v>
      </c>
      <c r="F211" s="84">
        <v>9</v>
      </c>
      <c r="G211" s="89">
        <v>110</v>
      </c>
      <c r="H211" s="254">
        <f t="shared" si="210"/>
        <v>1586.22</v>
      </c>
      <c r="I211" s="254">
        <f t="shared" si="186"/>
        <v>1491.39</v>
      </c>
      <c r="J211" s="90">
        <f t="shared" si="154"/>
        <v>164052.90000000002</v>
      </c>
      <c r="K211" s="91">
        <f>+$G211*H211</f>
        <v>174484.2</v>
      </c>
      <c r="L211" s="92">
        <f t="shared" si="208"/>
        <v>-10431.299999999988</v>
      </c>
      <c r="M211" s="93">
        <f t="shared" si="204"/>
        <v>-498.17416860844</v>
      </c>
      <c r="N211" s="94">
        <f t="shared" si="209"/>
        <v>-10929.474168608429</v>
      </c>
      <c r="O211" s="84">
        <f t="shared" si="190"/>
        <v>70</v>
      </c>
      <c r="P211" s="84">
        <f t="shared" si="191"/>
        <v>91</v>
      </c>
      <c r="Q211" s="84">
        <f t="shared" si="192"/>
        <v>92</v>
      </c>
      <c r="R211" s="84">
        <f t="shared" si="200"/>
        <v>92</v>
      </c>
      <c r="S211" s="84">
        <f t="shared" si="201"/>
        <v>90</v>
      </c>
      <c r="T211" s="84">
        <f t="shared" si="201"/>
        <v>91</v>
      </c>
      <c r="U211" s="84">
        <f t="shared" si="201"/>
        <v>0</v>
      </c>
      <c r="V211" s="112">
        <f t="shared" si="206"/>
        <v>0</v>
      </c>
      <c r="W211" s="147">
        <f t="shared" si="207"/>
        <v>-65.017006849315</v>
      </c>
      <c r="X211" s="95">
        <f>($L211+SUM($W211:W211))*(P$11*P211)</f>
        <v>-85.04892478837483</v>
      </c>
      <c r="Y211" s="95">
        <f>($L211+SUM($W211:X211))*(Q$11*Q211)</f>
        <v>-86.68023050848399</v>
      </c>
      <c r="Z211" s="95">
        <f>($L211+SUM($W211:Y211))*(R$11*R211)</f>
        <v>-87.39029595840279</v>
      </c>
      <c r="AA211" s="95">
        <f>($L211+SUM($W211:Z211))*(S$11*S211)</f>
        <v>-86.19082641083794</v>
      </c>
      <c r="AB211" s="95">
        <f>($L211+SUM($W211:AA211))*(T$11*T211)</f>
        <v>-87.8468840930255</v>
      </c>
      <c r="AC211" s="95">
        <f>($L211+SUM($W211:AB211))*(U$11*U211)</f>
        <v>0</v>
      </c>
      <c r="AD211" s="95">
        <f>($L211+SUM($W211:AC211))*(V$11*V211)</f>
        <v>0</v>
      </c>
      <c r="AE211" s="116">
        <f t="shared" si="193"/>
        <v>-498.17416860844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65"/>
  <sheetViews>
    <sheetView zoomScalePageLayoutView="0" workbookViewId="0" topLeftCell="A1">
      <pane ySplit="1" topLeftCell="A776" activePane="bottomLeft" state="frozen"/>
      <selection pane="topLeft" activeCell="B48" sqref="B48"/>
      <selection pane="bottomLeft" activeCell="N777" sqref="N777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51" t="s">
        <v>207</v>
      </c>
      <c r="H1" s="44" t="s">
        <v>109</v>
      </c>
      <c r="I1" s="44"/>
      <c r="J1" s="44" t="s">
        <v>110</v>
      </c>
      <c r="K1" s="120" t="s">
        <v>134</v>
      </c>
      <c r="L1" s="119" t="s">
        <v>135</v>
      </c>
      <c r="M1" s="119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21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21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21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21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21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21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21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21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21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21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21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21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21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21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21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21">
        <f aca="true" t="shared" si="24" ref="J715:J727">AVERAGE(C703:C714)</f>
        <v>0.07019166666666667</v>
      </c>
      <c r="K715" s="60" t="s">
        <v>124</v>
      </c>
      <c r="L715" s="3" t="str">
        <f t="shared" si="20"/>
        <v> 5.00</v>
      </c>
      <c r="M715" s="3"/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21">
        <f t="shared" si="24"/>
        <v>0.06748333333333334</v>
      </c>
      <c r="K716" s="60" t="s">
        <v>125</v>
      </c>
      <c r="L716" s="3" t="str">
        <f t="shared" si="20"/>
        <v> 5.00</v>
      </c>
      <c r="M716" s="3"/>
    </row>
    <row r="717" spans="1:13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21">
        <f t="shared" si="24"/>
        <v>0.06477500000000001</v>
      </c>
      <c r="K717" s="60" t="s">
        <v>126</v>
      </c>
      <c r="L717" s="3" t="str">
        <f t="shared" si="20"/>
        <v> 5.00</v>
      </c>
      <c r="M717" s="3"/>
    </row>
    <row r="718" spans="1:13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21">
        <f t="shared" si="24"/>
        <v>0.06206666666666668</v>
      </c>
      <c r="K718" s="60" t="s">
        <v>127</v>
      </c>
      <c r="L718" s="3" t="str">
        <f t="shared" si="20"/>
        <v> 5.00</v>
      </c>
      <c r="M718" s="3"/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21">
        <f t="shared" si="24"/>
        <v>0.05954166666666668</v>
      </c>
      <c r="K719" s="60" t="s">
        <v>128</v>
      </c>
      <c r="L719" s="3" t="str">
        <f t="shared" si="20"/>
        <v> 4.56</v>
      </c>
      <c r="M719" s="3"/>
    </row>
    <row r="720" spans="1:13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21">
        <f t="shared" si="24"/>
        <v>0.056891666666666674</v>
      </c>
      <c r="K720" s="60" t="s">
        <v>129</v>
      </c>
      <c r="L720" s="3" t="str">
        <f t="shared" si="20"/>
        <v> 4.00</v>
      </c>
      <c r="M720" s="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21">
        <f t="shared" si="24"/>
        <v>0.053975</v>
      </c>
      <c r="K721" s="60" t="s">
        <v>130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21">
        <f t="shared" si="24"/>
        <v>0.050875000000000004</v>
      </c>
      <c r="K722" s="60" t="s">
        <v>131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21">
        <f t="shared" si="24"/>
        <v>0.04776666666666666</v>
      </c>
      <c r="K723" s="60" t="s">
        <v>132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21">
        <f t="shared" si="24"/>
        <v>0.045474999999999995</v>
      </c>
      <c r="K724" s="60" t="s">
        <v>133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21">
        <f t="shared" si="24"/>
        <v>0.04346666666666666</v>
      </c>
      <c r="K725" s="60" t="s">
        <v>149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21">
        <f t="shared" si="24"/>
        <v>0.04180833333333333</v>
      </c>
      <c r="K726" s="60" t="s">
        <v>150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21">
        <f t="shared" si="24"/>
        <v>0.04035</v>
      </c>
      <c r="K727" s="60" t="s">
        <v>187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21">
        <f>AVERAGE(C716:C727)</f>
        <v>0.03889166666666666</v>
      </c>
      <c r="K728" s="60" t="s">
        <v>188</v>
      </c>
      <c r="L728" s="3" t="str">
        <f aca="true" t="shared" si="25" ref="L728:L762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21">
        <f aca="true" t="shared" si="26" ref="J729:J762">AVERAGE(C717:C728)</f>
        <v>0.03743333333333332</v>
      </c>
      <c r="K729" s="60" t="s">
        <v>195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21">
        <f t="shared" si="26"/>
        <v>0.035974999999999986</v>
      </c>
      <c r="K730" s="60" t="s">
        <v>199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21">
        <f t="shared" si="26"/>
        <v>0.03451666666666666</v>
      </c>
      <c r="K731" s="60" t="s">
        <v>200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21">
        <f t="shared" si="26"/>
        <v>0.03342499999999999</v>
      </c>
      <c r="K732" s="60" t="s">
        <v>201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21">
        <f t="shared" si="26"/>
        <v>0.032799999999999996</v>
      </c>
      <c r="K733" s="60" t="s">
        <v>202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21">
        <f t="shared" si="26"/>
        <v>0.032499999999999994</v>
      </c>
      <c r="K734" s="60" t="s">
        <v>203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21">
        <f t="shared" si="26"/>
        <v>0.032499999999999994</v>
      </c>
      <c r="K735" s="60" t="s">
        <v>204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21">
        <f t="shared" si="26"/>
        <v>0.032499999999999994</v>
      </c>
      <c r="K736" s="60" t="s">
        <v>205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21">
        <f t="shared" si="26"/>
        <v>0.032499999999999994</v>
      </c>
      <c r="K737" s="60" t="s">
        <v>206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21">
        <f t="shared" si="26"/>
        <v>0.032499999999999994</v>
      </c>
      <c r="K738" s="281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21">
        <f t="shared" si="26"/>
        <v>0.032499999999999994</v>
      </c>
      <c r="K739" s="281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21">
        <f t="shared" si="26"/>
        <v>0.032499999999999994</v>
      </c>
      <c r="K740" s="281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21">
        <f t="shared" si="26"/>
        <v>0.032499999999999994</v>
      </c>
      <c r="K741" s="281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21">
        <f t="shared" si="26"/>
        <v>0.032499999999999994</v>
      </c>
      <c r="K742" s="281" t="s">
        <v>237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21">
        <f t="shared" si="26"/>
        <v>0.032499999999999994</v>
      </c>
      <c r="K743" s="281" t="s">
        <v>277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21">
        <f t="shared" si="26"/>
        <v>0.032499999999999994</v>
      </c>
      <c r="K744" s="281" t="s">
        <v>278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21">
        <f t="shared" si="26"/>
        <v>0.032499999999999994</v>
      </c>
      <c r="K745" s="281" t="s">
        <v>279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21">
        <f t="shared" si="26"/>
        <v>0.032499999999999994</v>
      </c>
      <c r="K746" s="281" t="s">
        <v>280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21">
        <f t="shared" si="26"/>
        <v>0.032499999999999994</v>
      </c>
      <c r="K747" s="281" t="s">
        <v>281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21">
        <f t="shared" si="26"/>
        <v>0.032499999999999994</v>
      </c>
      <c r="K748" s="281" t="s">
        <v>282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21">
        <f t="shared" si="26"/>
        <v>0.032499999999999994</v>
      </c>
      <c r="K749" s="281" t="s">
        <v>283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21">
        <f t="shared" si="26"/>
        <v>0.032499999999999994</v>
      </c>
      <c r="K750" s="281" t="s">
        <v>284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21">
        <f t="shared" si="26"/>
        <v>0.032499999999999994</v>
      </c>
      <c r="K751" s="281" t="s">
        <v>285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21">
        <f t="shared" si="26"/>
        <v>0.032499999999999994</v>
      </c>
      <c r="K752" s="281" t="s">
        <v>286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21">
        <f t="shared" si="26"/>
        <v>0.032499999999999994</v>
      </c>
      <c r="K753" s="281" t="s">
        <v>287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21">
        <f t="shared" si="26"/>
        <v>0.032499999999999994</v>
      </c>
      <c r="K754" s="281" t="s">
        <v>288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21">
        <f t="shared" si="26"/>
        <v>0.032499999999999994</v>
      </c>
      <c r="K755" s="281" t="s">
        <v>289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21">
        <f t="shared" si="26"/>
        <v>0.032499999999999994</v>
      </c>
      <c r="K756" s="281" t="s">
        <v>290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21">
        <f t="shared" si="26"/>
        <v>0.032499999999999994</v>
      </c>
      <c r="K757" s="281" t="s">
        <v>291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21">
        <f t="shared" si="26"/>
        <v>0.032499999999999994</v>
      </c>
      <c r="K758" s="281" t="s">
        <v>292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21">
        <f t="shared" si="26"/>
        <v>0.032499999999999994</v>
      </c>
      <c r="K759" s="281" t="s">
        <v>293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21">
        <f t="shared" si="26"/>
        <v>0.032499999999999994</v>
      </c>
      <c r="K760" s="281" t="s">
        <v>294</v>
      </c>
      <c r="L760" s="3" t="str">
        <f t="shared" si="25"/>
        <v> 3.25</v>
      </c>
      <c r="N760" s="5" t="s">
        <v>123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21">
        <f t="shared" si="26"/>
        <v>0.032499999999999994</v>
      </c>
      <c r="K761" s="281" t="s">
        <v>295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21">
        <f t="shared" si="26"/>
        <v>0.032499999999999994</v>
      </c>
      <c r="K762" s="281" t="s">
        <v>296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21">
        <f aca="true" t="shared" si="28" ref="J763:J817">AVERAGE(C751:C762)</f>
        <v>0.032499999999999994</v>
      </c>
      <c r="K763" s="281" t="s">
        <v>297</v>
      </c>
      <c r="L763" s="3" t="str">
        <f aca="true" t="shared" si="29" ref="L763:L817">IF(K763=0,L762,RIGHT(K763,5))</f>
        <v> 3.25</v>
      </c>
      <c r="N763" s="5" t="s">
        <v>240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21">
        <f t="shared" si="28"/>
        <v>0.032499999999999994</v>
      </c>
      <c r="K764" s="281" t="s">
        <v>298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21">
        <f t="shared" si="28"/>
        <v>0.032499999999999994</v>
      </c>
      <c r="K765" s="281" t="s">
        <v>299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21">
        <f t="shared" si="28"/>
        <v>0.032499999999999994</v>
      </c>
      <c r="K766" s="281" t="s">
        <v>300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21">
        <f t="shared" si="28"/>
        <v>0.032499999999999994</v>
      </c>
      <c r="K767" s="281" t="s">
        <v>301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21">
        <f t="shared" si="28"/>
        <v>0.032499999999999994</v>
      </c>
      <c r="K768" s="281" t="s">
        <v>301</v>
      </c>
      <c r="L768" s="3" t="str">
        <f t="shared" si="29"/>
        <v> 3.25</v>
      </c>
    </row>
    <row r="769" spans="1:15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21">
        <f t="shared" si="28"/>
        <v>0.032499999999999994</v>
      </c>
      <c r="K769" s="281" t="s">
        <v>302</v>
      </c>
      <c r="L769" s="3" t="str">
        <f t="shared" si="29"/>
        <v> 3.25</v>
      </c>
      <c r="N769" s="250" t="s">
        <v>112</v>
      </c>
      <c r="O769" s="250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21">
        <f t="shared" si="28"/>
        <v>0.032499999999999994</v>
      </c>
      <c r="K770" s="281" t="s">
        <v>303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21">
        <f t="shared" si="28"/>
        <v>0.032499999999999994</v>
      </c>
      <c r="K771" s="281" t="s">
        <v>304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21">
        <f t="shared" si="28"/>
        <v>0.032499999999999994</v>
      </c>
      <c r="K772" s="281" t="s">
        <v>305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341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21">
        <f t="shared" si="28"/>
        <v>0.032499999999999994</v>
      </c>
      <c r="K773" s="281" t="s">
        <v>306</v>
      </c>
      <c r="L773" s="3" t="str">
        <f t="shared" si="29"/>
        <v> 3.25</v>
      </c>
      <c r="N773" s="282" t="s">
        <v>238</v>
      </c>
    </row>
    <row r="774" spans="1:14" ht="15">
      <c r="A774" s="45">
        <f t="shared" si="30"/>
        <v>41414</v>
      </c>
      <c r="B774" s="46">
        <v>41414</v>
      </c>
      <c r="C774" s="341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21">
        <f t="shared" si="28"/>
        <v>0.032499999999999994</v>
      </c>
      <c r="K774" s="281" t="s">
        <v>307</v>
      </c>
      <c r="L774" s="3" t="str">
        <f t="shared" si="29"/>
        <v> 3.25</v>
      </c>
      <c r="N774" t="s">
        <v>239</v>
      </c>
    </row>
    <row r="775" spans="1:12" ht="15">
      <c r="A775" s="39">
        <f t="shared" si="30"/>
        <v>41445</v>
      </c>
      <c r="B775" s="40">
        <v>41445</v>
      </c>
      <c r="C775" s="341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21">
        <f t="shared" si="28"/>
        <v>0.032499999999999994</v>
      </c>
      <c r="K775" s="281" t="s">
        <v>308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341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21">
        <f t="shared" si="28"/>
        <v>0.032499999999999994</v>
      </c>
      <c r="K776" s="281" t="s">
        <v>309</v>
      </c>
      <c r="L776" s="3" t="str">
        <f t="shared" si="29"/>
        <v> 3.25</v>
      </c>
      <c r="N776" s="25"/>
    </row>
    <row r="777" spans="1:14" ht="15">
      <c r="A777" s="45">
        <f t="shared" si="30"/>
        <v>41506</v>
      </c>
      <c r="B777" s="46">
        <v>41506</v>
      </c>
      <c r="C777" s="341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21">
        <f t="shared" si="28"/>
        <v>0.032499999999999994</v>
      </c>
      <c r="K777" s="281" t="s">
        <v>310</v>
      </c>
      <c r="L777" s="3" t="str">
        <f t="shared" si="29"/>
        <v> 3.25</v>
      </c>
      <c r="N777" s="25"/>
    </row>
    <row r="778" spans="1:12" ht="15">
      <c r="A778" s="39">
        <f t="shared" si="30"/>
        <v>41537</v>
      </c>
      <c r="B778" s="40">
        <v>41537</v>
      </c>
      <c r="C778" s="341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21">
        <f t="shared" si="28"/>
        <v>0.032499999999999994</v>
      </c>
      <c r="K778" s="281" t="s">
        <v>311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341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21">
        <f t="shared" si="28"/>
        <v>0.032499999999999994</v>
      </c>
      <c r="K779" s="281" t="s">
        <v>312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341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21">
        <f t="shared" si="28"/>
        <v>0.032499999999999994</v>
      </c>
      <c r="K780" s="281" t="s">
        <v>313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341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21">
        <f t="shared" si="28"/>
        <v>0.032499999999999994</v>
      </c>
      <c r="K781" s="281" t="s">
        <v>314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341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21">
        <f t="shared" si="28"/>
        <v>0.032499999999999994</v>
      </c>
      <c r="K782" s="281" t="s">
        <v>315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341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21">
        <f t="shared" si="28"/>
        <v>0.032499999999999994</v>
      </c>
      <c r="K783" s="281" t="s">
        <v>316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341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21">
        <f t="shared" si="28"/>
        <v>0.032499999999999994</v>
      </c>
      <c r="K784" s="281" t="s">
        <v>317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331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21">
        <f t="shared" si="28"/>
        <v>0.032499999999999994</v>
      </c>
      <c r="K785" s="281" t="s">
        <v>318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331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21">
        <f t="shared" si="28"/>
        <v>0.032499999999999994</v>
      </c>
      <c r="K786" s="281" t="s">
        <v>319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331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21">
        <f t="shared" si="28"/>
        <v>0.032499999999999994</v>
      </c>
      <c r="K787" s="281" t="s">
        <v>320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342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21">
        <f t="shared" si="28"/>
        <v>0.032499999999999994</v>
      </c>
      <c r="K788" s="281" t="s">
        <v>322</v>
      </c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342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21">
        <f t="shared" si="28"/>
        <v>0.032499999999999994</v>
      </c>
      <c r="K789" s="281" t="s">
        <v>323</v>
      </c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342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21">
        <f t="shared" si="28"/>
        <v>0.032499999999999994</v>
      </c>
      <c r="K790" s="281" t="s">
        <v>324</v>
      </c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342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21">
        <f t="shared" si="28"/>
        <v>0.032499999999999994</v>
      </c>
      <c r="K791" s="281" t="s">
        <v>325</v>
      </c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342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21">
        <f t="shared" si="28"/>
        <v>0.032499999999999994</v>
      </c>
      <c r="K792" s="281" t="s">
        <v>326</v>
      </c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342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21">
        <f t="shared" si="28"/>
        <v>0.032499999999999994</v>
      </c>
      <c r="K793" s="281" t="s">
        <v>327</v>
      </c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42185</v>
      </c>
      <c r="J794" s="121">
        <f t="shared" si="28"/>
        <v>0.032499999999999994</v>
      </c>
      <c r="K794" s="281"/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42185</v>
      </c>
      <c r="J795" s="121">
        <f t="shared" si="28"/>
        <v>0.032499999999999994</v>
      </c>
      <c r="K795" s="281"/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42185</v>
      </c>
      <c r="J796" s="121">
        <f t="shared" si="28"/>
        <v>0.032499999999999994</v>
      </c>
      <c r="K796" s="281"/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42185</v>
      </c>
      <c r="J797" s="121">
        <f t="shared" si="28"/>
        <v>0.032499999999999994</v>
      </c>
      <c r="K797" s="281"/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42185</v>
      </c>
      <c r="J798" s="121">
        <f t="shared" si="28"/>
        <v>0.032499999999999994</v>
      </c>
      <c r="K798" s="281"/>
      <c r="L798" s="3" t="str">
        <f t="shared" si="29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42185</v>
      </c>
      <c r="J799" s="121">
        <f t="shared" si="28"/>
        <v>0.032499999999999994</v>
      </c>
      <c r="K799" s="281"/>
      <c r="L799" s="3" t="str">
        <f t="shared" si="29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42551</v>
      </c>
      <c r="J800" s="121">
        <f t="shared" si="28"/>
        <v>0.032499999999999994</v>
      </c>
      <c r="K800" s="281"/>
      <c r="L800" s="3" t="str">
        <f t="shared" si="29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42551</v>
      </c>
      <c r="J801" s="121">
        <f t="shared" si="28"/>
        <v>0.032499999999999994</v>
      </c>
      <c r="K801" s="281"/>
      <c r="L801" s="3" t="str">
        <f t="shared" si="29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42551</v>
      </c>
      <c r="J802" s="121">
        <f t="shared" si="28"/>
        <v>0.032499999999999994</v>
      </c>
      <c r="K802" s="281"/>
      <c r="L802" s="3" t="str">
        <f t="shared" si="29"/>
        <v> 3.25</v>
      </c>
    </row>
    <row r="803" spans="1:12" ht="12.7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42551</v>
      </c>
      <c r="J803" s="121">
        <f t="shared" si="28"/>
        <v>0.032499999999999994</v>
      </c>
      <c r="L803" s="3" t="str">
        <f t="shared" si="29"/>
        <v> 3.25</v>
      </c>
    </row>
    <row r="804" spans="1:12" ht="12.7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42551</v>
      </c>
      <c r="J804" s="121">
        <f t="shared" si="28"/>
        <v>0.032499999999999994</v>
      </c>
      <c r="L804" s="3" t="str">
        <f t="shared" si="29"/>
        <v> 3.25</v>
      </c>
    </row>
    <row r="805" spans="1:12" ht="12.75">
      <c r="A805" s="39">
        <f t="shared" si="30"/>
        <v>42358</v>
      </c>
      <c r="B805" s="40">
        <v>42358</v>
      </c>
      <c r="C805" s="65">
        <f t="shared" si="32"/>
        <v>0.0325</v>
      </c>
      <c r="E805" s="3" t="str">
        <f t="shared" si="31"/>
        <v>4Q2015</v>
      </c>
      <c r="F805" s="49">
        <f>+F804</f>
        <v>0.0325</v>
      </c>
      <c r="H805" s="6">
        <v>42551</v>
      </c>
      <c r="J805" s="121">
        <f t="shared" si="28"/>
        <v>0.032499999999999994</v>
      </c>
      <c r="L805" s="3" t="str">
        <f t="shared" si="29"/>
        <v> 3.25</v>
      </c>
    </row>
    <row r="806" spans="1:12" ht="12.75">
      <c r="A806" s="39">
        <f t="shared" si="30"/>
        <v>42389</v>
      </c>
      <c r="B806" s="40">
        <v>42389</v>
      </c>
      <c r="C806" s="65">
        <f t="shared" si="32"/>
        <v>0.0325</v>
      </c>
      <c r="E806" s="3" t="str">
        <f t="shared" si="31"/>
        <v>1Q2016</v>
      </c>
      <c r="F806" s="49">
        <f>IF(COUNTIF(C802:C804,"&gt;0")&lt;3,"N/A",AVERAGE(C802:C804))</f>
        <v>0.0325</v>
      </c>
      <c r="H806" s="6">
        <v>42551</v>
      </c>
      <c r="J806" s="121">
        <f t="shared" si="28"/>
        <v>0.032499999999999994</v>
      </c>
      <c r="L806" s="3" t="str">
        <f t="shared" si="29"/>
        <v> 3.25</v>
      </c>
    </row>
    <row r="807" spans="1:12" ht="12.75">
      <c r="A807" s="45">
        <f t="shared" si="30"/>
        <v>42420</v>
      </c>
      <c r="B807" s="46">
        <v>42420</v>
      </c>
      <c r="C807" s="65">
        <f t="shared" si="32"/>
        <v>0.0325</v>
      </c>
      <c r="E807" s="3" t="str">
        <f t="shared" si="31"/>
        <v>1Q2016</v>
      </c>
      <c r="F807" s="49">
        <f>+F806</f>
        <v>0.0325</v>
      </c>
      <c r="H807" s="6">
        <v>42551</v>
      </c>
      <c r="J807" s="121">
        <f t="shared" si="28"/>
        <v>0.032499999999999994</v>
      </c>
      <c r="L807" s="3" t="str">
        <f t="shared" si="29"/>
        <v> 3.25</v>
      </c>
    </row>
    <row r="808" spans="1:12" ht="12.75">
      <c r="A808" s="39">
        <f t="shared" si="30"/>
        <v>42449</v>
      </c>
      <c r="B808" s="40">
        <v>42449</v>
      </c>
      <c r="C808" s="65">
        <f t="shared" si="32"/>
        <v>0.0325</v>
      </c>
      <c r="E808" s="3" t="str">
        <f t="shared" si="31"/>
        <v>1Q2016</v>
      </c>
      <c r="F808" s="49">
        <f>+F807</f>
        <v>0.0325</v>
      </c>
      <c r="H808" s="6">
        <v>42551</v>
      </c>
      <c r="J808" s="121">
        <f t="shared" si="28"/>
        <v>0.032499999999999994</v>
      </c>
      <c r="L808" s="3" t="str">
        <f t="shared" si="29"/>
        <v> 3.25</v>
      </c>
    </row>
    <row r="809" spans="1:12" ht="12.75">
      <c r="A809" s="39">
        <f t="shared" si="30"/>
        <v>42480</v>
      </c>
      <c r="B809" s="40">
        <v>42480</v>
      </c>
      <c r="C809" s="65">
        <f t="shared" si="32"/>
        <v>0.0325</v>
      </c>
      <c r="E809" s="3" t="str">
        <f t="shared" si="31"/>
        <v>2Q2016</v>
      </c>
      <c r="F809" s="49">
        <f>IF(COUNTIF(C805:C807,"&gt;0")&lt;3,"N/A",AVERAGE(C805:C807))</f>
        <v>0.0325</v>
      </c>
      <c r="H809" s="6">
        <v>42551</v>
      </c>
      <c r="J809" s="121">
        <f t="shared" si="28"/>
        <v>0.032499999999999994</v>
      </c>
      <c r="L809" s="3" t="str">
        <f t="shared" si="29"/>
        <v> 3.25</v>
      </c>
    </row>
    <row r="810" spans="1:12" ht="12.75">
      <c r="A810" s="45">
        <f t="shared" si="30"/>
        <v>42510</v>
      </c>
      <c r="B810" s="46">
        <v>42510</v>
      </c>
      <c r="C810" s="65">
        <f t="shared" si="32"/>
        <v>0.0325</v>
      </c>
      <c r="E810" s="3" t="str">
        <f t="shared" si="31"/>
        <v>2Q2016</v>
      </c>
      <c r="F810" s="49">
        <f>+F809</f>
        <v>0.0325</v>
      </c>
      <c r="H810" s="6">
        <v>42551</v>
      </c>
      <c r="J810" s="121">
        <f t="shared" si="28"/>
        <v>0.032499999999999994</v>
      </c>
      <c r="L810" s="3" t="str">
        <f t="shared" si="29"/>
        <v> 3.25</v>
      </c>
    </row>
    <row r="811" spans="1:12" ht="12.75">
      <c r="A811" s="39">
        <f t="shared" si="30"/>
        <v>42541</v>
      </c>
      <c r="B811" s="40">
        <v>42541</v>
      </c>
      <c r="C811" s="65">
        <f t="shared" si="32"/>
        <v>0.0325</v>
      </c>
      <c r="E811" s="3" t="str">
        <f t="shared" si="31"/>
        <v>2Q2016</v>
      </c>
      <c r="F811" s="49">
        <f>+F810</f>
        <v>0.0325</v>
      </c>
      <c r="H811" s="6">
        <v>42551</v>
      </c>
      <c r="J811" s="121">
        <f t="shared" si="28"/>
        <v>0.032499999999999994</v>
      </c>
      <c r="L811" s="3" t="str">
        <f t="shared" si="29"/>
        <v> 3.25</v>
      </c>
    </row>
    <row r="812" spans="1:12" ht="12.75">
      <c r="A812" s="39">
        <f t="shared" si="30"/>
        <v>42571</v>
      </c>
      <c r="B812" s="40">
        <v>42571</v>
      </c>
      <c r="C812" s="65">
        <f t="shared" si="32"/>
        <v>0.0325</v>
      </c>
      <c r="E812" s="3" t="str">
        <f t="shared" si="31"/>
        <v>3Q2016</v>
      </c>
      <c r="F812" s="49">
        <f>IF(COUNTIF(C808:C810,"&gt;0")&lt;3,"N/A",AVERAGE(C808:C810))</f>
        <v>0.0325</v>
      </c>
      <c r="H812" s="6">
        <v>42916</v>
      </c>
      <c r="J812" s="121">
        <f t="shared" si="28"/>
        <v>0.032499999999999994</v>
      </c>
      <c r="L812" s="3" t="str">
        <f t="shared" si="29"/>
        <v> 3.25</v>
      </c>
    </row>
    <row r="813" spans="1:12" ht="12.75">
      <c r="A813" s="45">
        <f t="shared" si="30"/>
        <v>42602</v>
      </c>
      <c r="B813" s="46">
        <v>42602</v>
      </c>
      <c r="C813" s="65">
        <f t="shared" si="32"/>
        <v>0.0325</v>
      </c>
      <c r="E813" s="3" t="str">
        <f t="shared" si="31"/>
        <v>3Q2016</v>
      </c>
      <c r="F813" s="49">
        <f>+F812</f>
        <v>0.0325</v>
      </c>
      <c r="H813" s="6">
        <v>42916</v>
      </c>
      <c r="J813" s="121">
        <f t="shared" si="28"/>
        <v>0.032499999999999994</v>
      </c>
      <c r="L813" s="3" t="str">
        <f t="shared" si="29"/>
        <v> 3.25</v>
      </c>
    </row>
    <row r="814" spans="1:12" ht="12.75">
      <c r="A814" s="39">
        <f t="shared" si="30"/>
        <v>42633</v>
      </c>
      <c r="B814" s="40">
        <v>42633</v>
      </c>
      <c r="C814" s="65">
        <f t="shared" si="32"/>
        <v>0.0325</v>
      </c>
      <c r="E814" s="3" t="str">
        <f t="shared" si="31"/>
        <v>3Q2016</v>
      </c>
      <c r="F814" s="49">
        <f>+F813</f>
        <v>0.0325</v>
      </c>
      <c r="H814" s="6">
        <v>42916</v>
      </c>
      <c r="J814" s="121">
        <f t="shared" si="28"/>
        <v>0.032499999999999994</v>
      </c>
      <c r="L814" s="3" t="str">
        <f t="shared" si="29"/>
        <v> 3.25</v>
      </c>
    </row>
    <row r="815" spans="1:12" ht="12.75">
      <c r="A815" s="39">
        <f t="shared" si="30"/>
        <v>42663</v>
      </c>
      <c r="B815" s="40">
        <v>42663</v>
      </c>
      <c r="C815" s="65">
        <f t="shared" si="32"/>
        <v>0.0325</v>
      </c>
      <c r="E815" s="3" t="str">
        <f t="shared" si="31"/>
        <v>4Q2016</v>
      </c>
      <c r="F815" s="49">
        <f>IF(COUNTIF(C811:C813,"&gt;0")&lt;3,"N/A",AVERAGE(C811:C813))</f>
        <v>0.0325</v>
      </c>
      <c r="H815" s="6">
        <v>42916</v>
      </c>
      <c r="J815" s="121">
        <f t="shared" si="28"/>
        <v>0.032499999999999994</v>
      </c>
      <c r="L815" s="3" t="str">
        <f t="shared" si="29"/>
        <v> 3.25</v>
      </c>
    </row>
    <row r="816" spans="1:12" ht="12.75">
      <c r="A816" s="45">
        <f t="shared" si="30"/>
        <v>42694</v>
      </c>
      <c r="B816" s="46">
        <v>42694</v>
      </c>
      <c r="C816" s="65">
        <f t="shared" si="32"/>
        <v>0.0325</v>
      </c>
      <c r="E816" s="3" t="str">
        <f t="shared" si="31"/>
        <v>4Q2016</v>
      </c>
      <c r="F816" s="49">
        <f>+F815</f>
        <v>0.0325</v>
      </c>
      <c r="H816" s="6">
        <v>42916</v>
      </c>
      <c r="J816" s="121">
        <f t="shared" si="28"/>
        <v>0.032499999999999994</v>
      </c>
      <c r="L816" s="3" t="str">
        <f t="shared" si="29"/>
        <v> 3.25</v>
      </c>
    </row>
    <row r="817" spans="1:12" ht="12.75">
      <c r="A817" s="39">
        <f t="shared" si="30"/>
        <v>42724</v>
      </c>
      <c r="B817" s="40">
        <v>42724</v>
      </c>
      <c r="C817" s="65">
        <f t="shared" si="32"/>
        <v>0.0325</v>
      </c>
      <c r="E817" s="3" t="str">
        <f t="shared" si="31"/>
        <v>4Q2016</v>
      </c>
      <c r="F817" s="49">
        <f>+F816</f>
        <v>0.0325</v>
      </c>
      <c r="H817" s="6">
        <v>42916</v>
      </c>
      <c r="J817" s="121">
        <f t="shared" si="28"/>
        <v>0.032499999999999994</v>
      </c>
      <c r="L817" s="3" t="str">
        <f t="shared" si="29"/>
        <v> 3.25</v>
      </c>
    </row>
    <row r="818" spans="1:8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>
        <f>IF(COUNTIF(C814:C816,"&gt;0")&lt;3,"N/A",AVERAGE(C814:C816))</f>
        <v>0.0325</v>
      </c>
      <c r="H818" s="6">
        <v>42916</v>
      </c>
    </row>
    <row r="819" spans="1:8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>
        <f>+F818</f>
        <v>0.0325</v>
      </c>
      <c r="H819" s="6">
        <v>42916</v>
      </c>
    </row>
    <row r="820" spans="1:8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>
        <f>+F819</f>
        <v>0.0325</v>
      </c>
      <c r="H820" s="6">
        <v>42916</v>
      </c>
    </row>
    <row r="821" spans="1:8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  <c r="H821" s="6">
        <v>42916</v>
      </c>
    </row>
    <row r="822" spans="1:8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  <c r="H822" s="6">
        <v>42916</v>
      </c>
    </row>
    <row r="823" spans="1:8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  <c r="H823" s="6">
        <v>42916</v>
      </c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3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3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3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3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3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3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3"/>
        <v>43516</v>
      </c>
      <c r="B843" s="46">
        <v>43516</v>
      </c>
      <c r="C843" s="65">
        <f t="shared" si="32"/>
        <v>0</v>
      </c>
      <c r="E843" s="3" t="str">
        <f aca="true" t="shared" si="34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3"/>
        <v>43544</v>
      </c>
      <c r="B844" s="40">
        <v>43544</v>
      </c>
      <c r="C844" s="65">
        <f t="shared" si="32"/>
        <v>0</v>
      </c>
      <c r="E844" s="3" t="str">
        <f t="shared" si="34"/>
        <v>1Q2019</v>
      </c>
      <c r="F844" s="49" t="str">
        <f>+F843</f>
        <v>N/A</v>
      </c>
    </row>
    <row r="845" spans="1:6" ht="12.75">
      <c r="A845" s="39">
        <f t="shared" si="33"/>
        <v>43575</v>
      </c>
      <c r="B845" s="40">
        <v>43575</v>
      </c>
      <c r="C845" s="65">
        <f t="shared" si="32"/>
        <v>0</v>
      </c>
      <c r="E845" s="3" t="str">
        <f t="shared" si="34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3"/>
        <v>43605</v>
      </c>
      <c r="B846" s="46">
        <v>43605</v>
      </c>
      <c r="C846" s="65">
        <f t="shared" si="32"/>
        <v>0</v>
      </c>
      <c r="E846" s="3" t="str">
        <f t="shared" si="34"/>
        <v>2Q2019</v>
      </c>
      <c r="F846" s="49" t="str">
        <f>+F845</f>
        <v>N/A</v>
      </c>
    </row>
    <row r="847" spans="1:6" ht="12.75">
      <c r="A847" s="39">
        <f t="shared" si="33"/>
        <v>43636</v>
      </c>
      <c r="B847" s="40">
        <v>43636</v>
      </c>
      <c r="C847" s="65">
        <f t="shared" si="32"/>
        <v>0</v>
      </c>
      <c r="E847" s="3" t="str">
        <f t="shared" si="34"/>
        <v>2Q2019</v>
      </c>
      <c r="F847" s="49" t="str">
        <f>+F846</f>
        <v>N/A</v>
      </c>
    </row>
    <row r="848" spans="1:6" ht="12.75">
      <c r="A848" s="39">
        <f t="shared" si="33"/>
        <v>43666</v>
      </c>
      <c r="B848" s="40">
        <v>43666</v>
      </c>
      <c r="C848" s="65">
        <f aca="true" t="shared" si="35" ref="C848:C911">+L848%</f>
        <v>0</v>
      </c>
      <c r="E848" s="3" t="str">
        <f t="shared" si="34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3"/>
        <v>43697</v>
      </c>
      <c r="B849" s="46">
        <v>43697</v>
      </c>
      <c r="C849" s="65">
        <f t="shared" si="35"/>
        <v>0</v>
      </c>
      <c r="E849" s="3" t="str">
        <f t="shared" si="34"/>
        <v>3Q2019</v>
      </c>
      <c r="F849" s="49" t="str">
        <f>+F848</f>
        <v>N/A</v>
      </c>
    </row>
    <row r="850" spans="1:6" ht="12.75">
      <c r="A850" s="39">
        <f t="shared" si="33"/>
        <v>43728</v>
      </c>
      <c r="B850" s="40">
        <v>43728</v>
      </c>
      <c r="C850" s="65">
        <f t="shared" si="35"/>
        <v>0</v>
      </c>
      <c r="E850" s="3" t="str">
        <f t="shared" si="34"/>
        <v>3Q2019</v>
      </c>
      <c r="F850" s="49" t="str">
        <f>+F849</f>
        <v>N/A</v>
      </c>
    </row>
    <row r="851" spans="1:6" ht="12.75">
      <c r="A851" s="39">
        <f t="shared" si="33"/>
        <v>43758</v>
      </c>
      <c r="B851" s="40">
        <v>43758</v>
      </c>
      <c r="C851" s="65">
        <f t="shared" si="35"/>
        <v>0</v>
      </c>
      <c r="E851" s="3" t="str">
        <f t="shared" si="34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3"/>
        <v>43789</v>
      </c>
      <c r="B852" s="46">
        <v>43789</v>
      </c>
      <c r="C852" s="65">
        <f t="shared" si="35"/>
        <v>0</v>
      </c>
      <c r="E852" s="3" t="str">
        <f t="shared" si="34"/>
        <v>4Q2019</v>
      </c>
      <c r="F852" s="49" t="str">
        <f>+F851</f>
        <v>N/A</v>
      </c>
    </row>
    <row r="853" spans="1:6" ht="12.75">
      <c r="A853" s="39">
        <f t="shared" si="33"/>
        <v>43819</v>
      </c>
      <c r="B853" s="40">
        <v>43819</v>
      </c>
      <c r="C853" s="65">
        <f t="shared" si="35"/>
        <v>0</v>
      </c>
      <c r="E853" s="3" t="str">
        <f t="shared" si="34"/>
        <v>4Q2019</v>
      </c>
      <c r="F853" s="49" t="str">
        <f>+F852</f>
        <v>N/A</v>
      </c>
    </row>
    <row r="854" spans="1:6" ht="12.75">
      <c r="A854" s="39">
        <f t="shared" si="33"/>
        <v>43850</v>
      </c>
      <c r="B854" s="40">
        <v>43850</v>
      </c>
      <c r="C854" s="65">
        <f t="shared" si="35"/>
        <v>0</v>
      </c>
      <c r="E854" s="3" t="str">
        <f t="shared" si="34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3"/>
        <v>43881</v>
      </c>
      <c r="B855" s="46">
        <v>43881</v>
      </c>
      <c r="C855" s="65">
        <f t="shared" si="35"/>
        <v>0</v>
      </c>
      <c r="E855" s="3" t="str">
        <f t="shared" si="34"/>
        <v>1Q2020</v>
      </c>
      <c r="F855" s="49" t="str">
        <f>+F854</f>
        <v>N/A</v>
      </c>
    </row>
    <row r="856" spans="1:6" ht="12.75">
      <c r="A856" s="39">
        <f t="shared" si="33"/>
        <v>43910</v>
      </c>
      <c r="B856" s="40">
        <v>43910</v>
      </c>
      <c r="C856" s="65">
        <f t="shared" si="35"/>
        <v>0</v>
      </c>
      <c r="E856" s="3" t="str">
        <f t="shared" si="34"/>
        <v>1Q2020</v>
      </c>
      <c r="F856" s="49" t="str">
        <f>+F855</f>
        <v>N/A</v>
      </c>
    </row>
    <row r="857" spans="1:6" ht="12.75">
      <c r="A857" s="39">
        <f t="shared" si="33"/>
        <v>43941</v>
      </c>
      <c r="B857" s="40">
        <v>43941</v>
      </c>
      <c r="C857" s="65">
        <f t="shared" si="35"/>
        <v>0</v>
      </c>
      <c r="E857" s="3" t="str">
        <f t="shared" si="34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3"/>
        <v>43971</v>
      </c>
      <c r="B858" s="46">
        <v>43971</v>
      </c>
      <c r="C858" s="65">
        <f t="shared" si="35"/>
        <v>0</v>
      </c>
      <c r="E858" s="3" t="str">
        <f t="shared" si="34"/>
        <v>2Q2020</v>
      </c>
      <c r="F858" s="49" t="str">
        <f>+F857</f>
        <v>N/A</v>
      </c>
    </row>
    <row r="859" spans="1:6" ht="12.75">
      <c r="A859" s="39">
        <f t="shared" si="33"/>
        <v>44002</v>
      </c>
      <c r="B859" s="40">
        <v>44002</v>
      </c>
      <c r="C859" s="65">
        <f t="shared" si="35"/>
        <v>0</v>
      </c>
      <c r="E859" s="3" t="str">
        <f t="shared" si="34"/>
        <v>2Q2020</v>
      </c>
      <c r="F859" s="49" t="str">
        <f>+F858</f>
        <v>N/A</v>
      </c>
    </row>
    <row r="860" spans="1:6" ht="12.75">
      <c r="A860" s="39">
        <f t="shared" si="33"/>
        <v>44032</v>
      </c>
      <c r="B860" s="40">
        <v>44032</v>
      </c>
      <c r="C860" s="65">
        <f t="shared" si="35"/>
        <v>0</v>
      </c>
      <c r="E860" s="3" t="str">
        <f t="shared" si="34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3"/>
        <v>44063</v>
      </c>
      <c r="B861" s="46">
        <v>44063</v>
      </c>
      <c r="C861" s="65">
        <f t="shared" si="35"/>
        <v>0</v>
      </c>
      <c r="E861" s="3" t="str">
        <f t="shared" si="34"/>
        <v>3Q2020</v>
      </c>
      <c r="F861" s="49" t="str">
        <f>+F860</f>
        <v>N/A</v>
      </c>
    </row>
    <row r="862" spans="1:6" ht="12.75">
      <c r="A862" s="39">
        <f t="shared" si="33"/>
        <v>44094</v>
      </c>
      <c r="B862" s="40">
        <v>44094</v>
      </c>
      <c r="C862" s="65">
        <f t="shared" si="35"/>
        <v>0</v>
      </c>
      <c r="E862" s="3" t="str">
        <f t="shared" si="34"/>
        <v>3Q2020</v>
      </c>
      <c r="F862" s="49" t="str">
        <f>+F861</f>
        <v>N/A</v>
      </c>
    </row>
    <row r="863" spans="1:6" ht="12.75">
      <c r="A863" s="39">
        <f t="shared" si="33"/>
        <v>44124</v>
      </c>
      <c r="B863" s="40">
        <v>44124</v>
      </c>
      <c r="C863" s="65">
        <f t="shared" si="35"/>
        <v>0</v>
      </c>
      <c r="E863" s="3" t="str">
        <f t="shared" si="34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3"/>
        <v>44155</v>
      </c>
      <c r="B864" s="46">
        <v>44155</v>
      </c>
      <c r="C864" s="65">
        <f t="shared" si="35"/>
        <v>0</v>
      </c>
      <c r="E864" s="3" t="str">
        <f t="shared" si="34"/>
        <v>4Q2020</v>
      </c>
      <c r="F864" s="49" t="str">
        <f>+F863</f>
        <v>N/A</v>
      </c>
    </row>
    <row r="865" spans="1:6" ht="12.75">
      <c r="A865" s="39">
        <f t="shared" si="33"/>
        <v>44185</v>
      </c>
      <c r="B865" s="40">
        <v>44185</v>
      </c>
      <c r="C865" s="65">
        <f t="shared" si="35"/>
        <v>0</v>
      </c>
      <c r="E865" s="3" t="str">
        <f t="shared" si="34"/>
        <v>4Q2020</v>
      </c>
      <c r="F865" s="49" t="str">
        <f>+F864</f>
        <v>N/A</v>
      </c>
    </row>
    <row r="866" spans="1:6" ht="12.75">
      <c r="A866" s="39">
        <f t="shared" si="33"/>
        <v>44216</v>
      </c>
      <c r="B866" s="40">
        <v>44216</v>
      </c>
      <c r="C866" s="65">
        <f t="shared" si="35"/>
        <v>0</v>
      </c>
      <c r="E866" s="3" t="str">
        <f t="shared" si="34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3"/>
        <v>44247</v>
      </c>
      <c r="B867" s="46">
        <v>44247</v>
      </c>
      <c r="C867" s="65">
        <f t="shared" si="35"/>
        <v>0</v>
      </c>
      <c r="E867" s="3" t="str">
        <f t="shared" si="34"/>
        <v>1Q2021</v>
      </c>
      <c r="F867" s="49" t="str">
        <f>+F866</f>
        <v>N/A</v>
      </c>
    </row>
    <row r="868" spans="1:6" ht="12.75">
      <c r="A868" s="39">
        <f t="shared" si="33"/>
        <v>44275</v>
      </c>
      <c r="B868" s="40">
        <v>44275</v>
      </c>
      <c r="C868" s="65">
        <f t="shared" si="35"/>
        <v>0</v>
      </c>
      <c r="E868" s="3" t="str">
        <f t="shared" si="34"/>
        <v>1Q2021</v>
      </c>
      <c r="F868" s="49" t="str">
        <f>+F867</f>
        <v>N/A</v>
      </c>
    </row>
    <row r="869" spans="1:6" ht="12.75">
      <c r="A869" s="39">
        <f t="shared" si="33"/>
        <v>44306</v>
      </c>
      <c r="B869" s="40">
        <v>44306</v>
      </c>
      <c r="C869" s="65">
        <f t="shared" si="35"/>
        <v>0</v>
      </c>
      <c r="E869" s="3" t="str">
        <f t="shared" si="34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3"/>
        <v>44336</v>
      </c>
      <c r="B870" s="46">
        <v>44336</v>
      </c>
      <c r="C870" s="65">
        <f t="shared" si="35"/>
        <v>0</v>
      </c>
      <c r="E870" s="3" t="str">
        <f t="shared" si="34"/>
        <v>2Q2021</v>
      </c>
      <c r="F870" s="49" t="str">
        <f>+F869</f>
        <v>N/A</v>
      </c>
    </row>
    <row r="871" spans="1:6" ht="12.75">
      <c r="A871" s="39">
        <f t="shared" si="33"/>
        <v>44367</v>
      </c>
      <c r="B871" s="40">
        <v>44367</v>
      </c>
      <c r="C871" s="65">
        <f t="shared" si="35"/>
        <v>0</v>
      </c>
      <c r="E871" s="3" t="str">
        <f t="shared" si="34"/>
        <v>2Q2021</v>
      </c>
      <c r="F871" s="49" t="str">
        <f>+F870</f>
        <v>N/A</v>
      </c>
    </row>
    <row r="872" spans="1:6" ht="12.75">
      <c r="A872" s="39">
        <f t="shared" si="33"/>
        <v>44397</v>
      </c>
      <c r="B872" s="40">
        <v>44397</v>
      </c>
      <c r="C872" s="65">
        <f t="shared" si="35"/>
        <v>0</v>
      </c>
      <c r="E872" s="3" t="str">
        <f t="shared" si="34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3"/>
        <v>44428</v>
      </c>
      <c r="B873" s="46">
        <v>44428</v>
      </c>
      <c r="C873" s="65">
        <f t="shared" si="35"/>
        <v>0</v>
      </c>
      <c r="E873" s="3" t="str">
        <f t="shared" si="34"/>
        <v>3Q2021</v>
      </c>
      <c r="F873" s="49" t="str">
        <f>+F872</f>
        <v>N/A</v>
      </c>
    </row>
    <row r="874" spans="1:6" ht="12.75">
      <c r="A874" s="39">
        <f t="shared" si="33"/>
        <v>44459</v>
      </c>
      <c r="B874" s="40">
        <v>44459</v>
      </c>
      <c r="C874" s="65">
        <f t="shared" si="35"/>
        <v>0</v>
      </c>
      <c r="E874" s="3" t="str">
        <f t="shared" si="34"/>
        <v>3Q2021</v>
      </c>
      <c r="F874" s="49" t="str">
        <f>+F873</f>
        <v>N/A</v>
      </c>
    </row>
    <row r="875" spans="1:6" ht="12.75">
      <c r="A875" s="39">
        <f t="shared" si="33"/>
        <v>44489</v>
      </c>
      <c r="B875" s="40">
        <v>44489</v>
      </c>
      <c r="C875" s="65">
        <f t="shared" si="35"/>
        <v>0</v>
      </c>
      <c r="E875" s="3" t="str">
        <f t="shared" si="34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3"/>
        <v>44520</v>
      </c>
      <c r="B876" s="46">
        <v>44520</v>
      </c>
      <c r="C876" s="65">
        <f t="shared" si="35"/>
        <v>0</v>
      </c>
      <c r="E876" s="3" t="str">
        <f t="shared" si="34"/>
        <v>4Q2021</v>
      </c>
      <c r="F876" s="49" t="str">
        <f>+F875</f>
        <v>N/A</v>
      </c>
    </row>
    <row r="877" spans="1:6" ht="12.75">
      <c r="A877" s="39">
        <f t="shared" si="33"/>
        <v>44550</v>
      </c>
      <c r="B877" s="40">
        <v>44550</v>
      </c>
      <c r="C877" s="65">
        <f t="shared" si="35"/>
        <v>0</v>
      </c>
      <c r="E877" s="3" t="str">
        <f t="shared" si="34"/>
        <v>4Q2021</v>
      </c>
      <c r="F877" s="49" t="str">
        <f>+F876</f>
        <v>N/A</v>
      </c>
    </row>
    <row r="878" spans="1:6" ht="12.75">
      <c r="A878" s="39">
        <f t="shared" si="33"/>
        <v>44581</v>
      </c>
      <c r="B878" s="40">
        <v>44581</v>
      </c>
      <c r="C878" s="65">
        <f t="shared" si="35"/>
        <v>0</v>
      </c>
      <c r="E878" s="3" t="str">
        <f t="shared" si="34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3"/>
        <v>44612</v>
      </c>
      <c r="B879" s="46">
        <v>44612</v>
      </c>
      <c r="C879" s="65">
        <f t="shared" si="35"/>
        <v>0</v>
      </c>
      <c r="E879" s="3" t="str">
        <f t="shared" si="34"/>
        <v>1Q2022</v>
      </c>
      <c r="F879" s="49" t="str">
        <f>+F878</f>
        <v>N/A</v>
      </c>
    </row>
    <row r="880" spans="1:6" ht="12.75">
      <c r="A880" s="39">
        <f t="shared" si="33"/>
        <v>44640</v>
      </c>
      <c r="B880" s="40">
        <v>44640</v>
      </c>
      <c r="C880" s="65">
        <f t="shared" si="35"/>
        <v>0</v>
      </c>
      <c r="E880" s="3" t="str">
        <f t="shared" si="34"/>
        <v>1Q2022</v>
      </c>
      <c r="F880" s="49" t="str">
        <f>+F879</f>
        <v>N/A</v>
      </c>
    </row>
    <row r="881" spans="1:6" ht="12.75">
      <c r="A881" s="39">
        <f t="shared" si="33"/>
        <v>44671</v>
      </c>
      <c r="B881" s="40">
        <v>44671</v>
      </c>
      <c r="C881" s="65">
        <f t="shared" si="35"/>
        <v>0</v>
      </c>
      <c r="E881" s="3" t="str">
        <f t="shared" si="34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3"/>
        <v>44701</v>
      </c>
      <c r="B882" s="46">
        <v>44701</v>
      </c>
      <c r="C882" s="65">
        <f t="shared" si="35"/>
        <v>0</v>
      </c>
      <c r="E882" s="3" t="str">
        <f t="shared" si="34"/>
        <v>2Q2022</v>
      </c>
      <c r="F882" s="49" t="str">
        <f>+F881</f>
        <v>N/A</v>
      </c>
    </row>
    <row r="883" spans="1:6" ht="12.75">
      <c r="A883" s="39">
        <f t="shared" si="33"/>
        <v>44732</v>
      </c>
      <c r="B883" s="40">
        <v>44732</v>
      </c>
      <c r="C883" s="65">
        <f t="shared" si="35"/>
        <v>0</v>
      </c>
      <c r="E883" s="3" t="str">
        <f t="shared" si="34"/>
        <v>2Q2022</v>
      </c>
      <c r="F883" s="49" t="str">
        <f>+F882</f>
        <v>N/A</v>
      </c>
    </row>
    <row r="884" spans="1:6" ht="12.75">
      <c r="A884" s="39">
        <f t="shared" si="33"/>
        <v>44762</v>
      </c>
      <c r="B884" s="40">
        <v>44762</v>
      </c>
      <c r="C884" s="65">
        <f t="shared" si="35"/>
        <v>0</v>
      </c>
      <c r="E884" s="3" t="str">
        <f t="shared" si="34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3"/>
        <v>44793</v>
      </c>
      <c r="B885" s="46">
        <v>44793</v>
      </c>
      <c r="C885" s="65">
        <f t="shared" si="35"/>
        <v>0</v>
      </c>
      <c r="E885" s="3" t="str">
        <f t="shared" si="34"/>
        <v>3Q2022</v>
      </c>
      <c r="F885" s="49" t="str">
        <f>+F884</f>
        <v>N/A</v>
      </c>
    </row>
    <row r="886" spans="1:6" ht="12.75">
      <c r="A886" s="39">
        <f t="shared" si="33"/>
        <v>44824</v>
      </c>
      <c r="B886" s="40">
        <v>44824</v>
      </c>
      <c r="C886" s="65">
        <f t="shared" si="35"/>
        <v>0</v>
      </c>
      <c r="E886" s="3" t="str">
        <f t="shared" si="34"/>
        <v>3Q2022</v>
      </c>
      <c r="F886" s="49" t="str">
        <f>+F885</f>
        <v>N/A</v>
      </c>
    </row>
    <row r="887" spans="1:6" ht="12.75">
      <c r="A887" s="39">
        <f t="shared" si="33"/>
        <v>44854</v>
      </c>
      <c r="B887" s="40">
        <v>44854</v>
      </c>
      <c r="C887" s="65">
        <f t="shared" si="35"/>
        <v>0</v>
      </c>
      <c r="E887" s="3" t="str">
        <f t="shared" si="34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3"/>
        <v>44885</v>
      </c>
      <c r="B888" s="46">
        <v>44885</v>
      </c>
      <c r="C888" s="65">
        <f t="shared" si="35"/>
        <v>0</v>
      </c>
      <c r="E888" s="3" t="str">
        <f t="shared" si="34"/>
        <v>4Q2022</v>
      </c>
      <c r="F888" s="49" t="str">
        <f>+F887</f>
        <v>N/A</v>
      </c>
    </row>
    <row r="889" spans="1:6" ht="12.75">
      <c r="A889" s="39">
        <f t="shared" si="33"/>
        <v>44915</v>
      </c>
      <c r="B889" s="40">
        <v>44915</v>
      </c>
      <c r="C889" s="65">
        <f t="shared" si="35"/>
        <v>0</v>
      </c>
      <c r="E889" s="3" t="str">
        <f t="shared" si="34"/>
        <v>4Q2022</v>
      </c>
      <c r="F889" s="49" t="str">
        <f>+F888</f>
        <v>N/A</v>
      </c>
    </row>
    <row r="890" spans="1:6" ht="12.75">
      <c r="A890" s="39">
        <f t="shared" si="33"/>
        <v>44946</v>
      </c>
      <c r="B890" s="40">
        <v>44946</v>
      </c>
      <c r="C890" s="65">
        <f t="shared" si="35"/>
        <v>0</v>
      </c>
      <c r="E890" s="3" t="str">
        <f t="shared" si="34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3"/>
        <v>44977</v>
      </c>
      <c r="B891" s="46">
        <v>44977</v>
      </c>
      <c r="C891" s="65">
        <f t="shared" si="35"/>
        <v>0</v>
      </c>
      <c r="E891" s="3" t="str">
        <f t="shared" si="34"/>
        <v>1Q2023</v>
      </c>
      <c r="F891" s="49" t="str">
        <f>+F890</f>
        <v>N/A</v>
      </c>
    </row>
    <row r="892" spans="1:6" ht="12.75">
      <c r="A892" s="39">
        <f t="shared" si="33"/>
        <v>45005</v>
      </c>
      <c r="B892" s="40">
        <v>45005</v>
      </c>
      <c r="C892" s="65">
        <f t="shared" si="35"/>
        <v>0</v>
      </c>
      <c r="E892" s="3" t="str">
        <f t="shared" si="34"/>
        <v>1Q2023</v>
      </c>
      <c r="F892" s="49" t="str">
        <f>+F891</f>
        <v>N/A</v>
      </c>
    </row>
    <row r="893" spans="1:6" ht="12.75">
      <c r="A893" s="39">
        <f t="shared" si="33"/>
        <v>45036</v>
      </c>
      <c r="B893" s="40">
        <v>45036</v>
      </c>
      <c r="C893" s="65">
        <f t="shared" si="35"/>
        <v>0</v>
      </c>
      <c r="E893" s="3" t="str">
        <f t="shared" si="34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3"/>
        <v>45066</v>
      </c>
      <c r="B894" s="46">
        <v>45066</v>
      </c>
      <c r="C894" s="65">
        <f t="shared" si="35"/>
        <v>0</v>
      </c>
      <c r="E894" s="3" t="str">
        <f t="shared" si="34"/>
        <v>2Q2023</v>
      </c>
      <c r="F894" s="49" t="str">
        <f>+F893</f>
        <v>N/A</v>
      </c>
    </row>
    <row r="895" spans="1:6" ht="12.75">
      <c r="A895" s="39">
        <f t="shared" si="33"/>
        <v>45097</v>
      </c>
      <c r="B895" s="40">
        <v>45097</v>
      </c>
      <c r="C895" s="65">
        <f t="shared" si="35"/>
        <v>0</v>
      </c>
      <c r="E895" s="3" t="str">
        <f t="shared" si="34"/>
        <v>2Q2023</v>
      </c>
      <c r="F895" s="49" t="str">
        <f>+F894</f>
        <v>N/A</v>
      </c>
    </row>
    <row r="896" spans="1:6" ht="12.75">
      <c r="A896" s="39">
        <f t="shared" si="33"/>
        <v>45127</v>
      </c>
      <c r="B896" s="40">
        <v>45127</v>
      </c>
      <c r="C896" s="65">
        <f t="shared" si="35"/>
        <v>0</v>
      </c>
      <c r="E896" s="3" t="str">
        <f t="shared" si="34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3"/>
        <v>45158</v>
      </c>
      <c r="B897" s="46">
        <v>45158</v>
      </c>
      <c r="C897" s="65">
        <f t="shared" si="35"/>
        <v>0</v>
      </c>
      <c r="E897" s="3" t="str">
        <f t="shared" si="34"/>
        <v>3Q2023</v>
      </c>
      <c r="F897" s="49" t="str">
        <f>+F896</f>
        <v>N/A</v>
      </c>
    </row>
    <row r="898" spans="1:6" ht="12.75">
      <c r="A898" s="39">
        <f t="shared" si="33"/>
        <v>45189</v>
      </c>
      <c r="B898" s="40">
        <v>45189</v>
      </c>
      <c r="C898" s="65">
        <f t="shared" si="35"/>
        <v>0</v>
      </c>
      <c r="E898" s="3" t="str">
        <f t="shared" si="34"/>
        <v>3Q2023</v>
      </c>
      <c r="F898" s="49" t="str">
        <f>+F897</f>
        <v>N/A</v>
      </c>
    </row>
    <row r="899" spans="1:6" ht="12.75">
      <c r="A899" s="39">
        <f t="shared" si="33"/>
        <v>45219</v>
      </c>
      <c r="B899" s="40">
        <v>45219</v>
      </c>
      <c r="C899" s="65">
        <f t="shared" si="35"/>
        <v>0</v>
      </c>
      <c r="E899" s="3" t="str">
        <f t="shared" si="34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3"/>
        <v>45250</v>
      </c>
      <c r="B900" s="46">
        <v>45250</v>
      </c>
      <c r="C900" s="65">
        <f t="shared" si="35"/>
        <v>0</v>
      </c>
      <c r="E900" s="3" t="str">
        <f t="shared" si="34"/>
        <v>4Q2023</v>
      </c>
      <c r="F900" s="49" t="str">
        <f>+F899</f>
        <v>N/A</v>
      </c>
    </row>
    <row r="901" spans="1:6" ht="12.75">
      <c r="A901" s="39">
        <f aca="true" t="shared" si="36" ref="A901:A964">+B901</f>
        <v>45280</v>
      </c>
      <c r="B901" s="40">
        <v>45280</v>
      </c>
      <c r="C901" s="65">
        <f t="shared" si="35"/>
        <v>0</v>
      </c>
      <c r="E901" s="3" t="str">
        <f t="shared" si="34"/>
        <v>4Q2023</v>
      </c>
      <c r="F901" s="49" t="str">
        <f>+F900</f>
        <v>N/A</v>
      </c>
    </row>
    <row r="902" spans="1:6" ht="12.75">
      <c r="A902" s="39">
        <f t="shared" si="36"/>
        <v>45311</v>
      </c>
      <c r="B902" s="40">
        <v>45311</v>
      </c>
      <c r="C902" s="65">
        <f t="shared" si="35"/>
        <v>0</v>
      </c>
      <c r="E902" s="3" t="str">
        <f t="shared" si="34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6"/>
        <v>45342</v>
      </c>
      <c r="B903" s="46">
        <v>45342</v>
      </c>
      <c r="C903" s="65">
        <f t="shared" si="35"/>
        <v>0</v>
      </c>
      <c r="E903" s="3" t="str">
        <f t="shared" si="34"/>
        <v>1Q2024</v>
      </c>
      <c r="F903" s="49" t="str">
        <f>+F902</f>
        <v>N/A</v>
      </c>
    </row>
    <row r="904" spans="1:6" ht="12.75">
      <c r="A904" s="39">
        <f t="shared" si="36"/>
        <v>45371</v>
      </c>
      <c r="B904" s="40">
        <v>45371</v>
      </c>
      <c r="C904" s="65">
        <f t="shared" si="35"/>
        <v>0</v>
      </c>
      <c r="E904" s="3" t="str">
        <f t="shared" si="34"/>
        <v>1Q2024</v>
      </c>
      <c r="F904" s="49" t="str">
        <f>+F903</f>
        <v>N/A</v>
      </c>
    </row>
    <row r="905" spans="1:6" ht="12.75">
      <c r="A905" s="39">
        <f t="shared" si="36"/>
        <v>45402</v>
      </c>
      <c r="B905" s="40">
        <v>45402</v>
      </c>
      <c r="C905" s="65">
        <f t="shared" si="35"/>
        <v>0</v>
      </c>
      <c r="E905" s="3" t="str">
        <f t="shared" si="34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6"/>
        <v>45432</v>
      </c>
      <c r="B906" s="46">
        <v>45432</v>
      </c>
      <c r="C906" s="65">
        <f t="shared" si="35"/>
        <v>0</v>
      </c>
      <c r="E906" s="3" t="str">
        <f t="shared" si="34"/>
        <v>2Q2024</v>
      </c>
      <c r="F906" s="49" t="str">
        <f>+F905</f>
        <v>N/A</v>
      </c>
    </row>
    <row r="907" spans="1:6" ht="12.75">
      <c r="A907" s="39">
        <f t="shared" si="36"/>
        <v>45463</v>
      </c>
      <c r="B907" s="40">
        <v>45463</v>
      </c>
      <c r="C907" s="65">
        <f t="shared" si="35"/>
        <v>0</v>
      </c>
      <c r="E907" s="3" t="str">
        <f aca="true" t="shared" si="37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6"/>
        <v>45493</v>
      </c>
      <c r="B908" s="40">
        <v>45493</v>
      </c>
      <c r="C908" s="65">
        <f t="shared" si="35"/>
        <v>0</v>
      </c>
      <c r="E908" s="3" t="str">
        <f t="shared" si="37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6"/>
        <v>45524</v>
      </c>
      <c r="B909" s="46">
        <v>45524</v>
      </c>
      <c r="C909" s="65">
        <f t="shared" si="35"/>
        <v>0</v>
      </c>
      <c r="E909" s="3" t="str">
        <f t="shared" si="37"/>
        <v>3Q2024</v>
      </c>
      <c r="F909" s="49" t="str">
        <f>+F908</f>
        <v>N/A</v>
      </c>
    </row>
    <row r="910" spans="1:6" ht="12.75">
      <c r="A910" s="39">
        <f t="shared" si="36"/>
        <v>45555</v>
      </c>
      <c r="B910" s="40">
        <v>45555</v>
      </c>
      <c r="C910" s="65">
        <f t="shared" si="35"/>
        <v>0</v>
      </c>
      <c r="E910" s="3" t="str">
        <f t="shared" si="37"/>
        <v>3Q2024</v>
      </c>
      <c r="F910" s="49" t="str">
        <f>+F909</f>
        <v>N/A</v>
      </c>
    </row>
    <row r="911" spans="1:6" ht="12.75">
      <c r="A911" s="39">
        <f t="shared" si="36"/>
        <v>45585</v>
      </c>
      <c r="B911" s="40">
        <v>45585</v>
      </c>
      <c r="C911" s="65">
        <f t="shared" si="35"/>
        <v>0</v>
      </c>
      <c r="E911" s="3" t="str">
        <f t="shared" si="37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6"/>
        <v>45616</v>
      </c>
      <c r="B912" s="46">
        <v>45616</v>
      </c>
      <c r="C912" s="65">
        <f aca="true" t="shared" si="38" ref="C912:C975">+L912%</f>
        <v>0</v>
      </c>
      <c r="E912" s="3" t="str">
        <f t="shared" si="37"/>
        <v>4Q2024</v>
      </c>
      <c r="F912" s="49" t="str">
        <f>+F911</f>
        <v>N/A</v>
      </c>
    </row>
    <row r="913" spans="1:6" ht="12.75">
      <c r="A913" s="39">
        <f t="shared" si="36"/>
        <v>45646</v>
      </c>
      <c r="B913" s="40">
        <v>45646</v>
      </c>
      <c r="C913" s="65">
        <f t="shared" si="38"/>
        <v>0</v>
      </c>
      <c r="E913" s="3" t="str">
        <f t="shared" si="37"/>
        <v>4Q2024</v>
      </c>
      <c r="F913" s="49" t="str">
        <f>+F912</f>
        <v>N/A</v>
      </c>
    </row>
    <row r="914" spans="1:6" ht="12.75">
      <c r="A914" s="39">
        <f t="shared" si="36"/>
        <v>45677</v>
      </c>
      <c r="B914" s="40">
        <v>45677</v>
      </c>
      <c r="C914" s="65">
        <f t="shared" si="38"/>
        <v>0</v>
      </c>
      <c r="E914" s="3" t="str">
        <f t="shared" si="37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6"/>
        <v>45708</v>
      </c>
      <c r="B915" s="46">
        <v>45708</v>
      </c>
      <c r="C915" s="65">
        <f t="shared" si="38"/>
        <v>0</v>
      </c>
      <c r="E915" s="3" t="str">
        <f t="shared" si="37"/>
        <v>1Q2025</v>
      </c>
      <c r="F915" s="49" t="str">
        <f>+F914</f>
        <v>N/A</v>
      </c>
    </row>
    <row r="916" spans="1:6" ht="12.75">
      <c r="A916" s="39">
        <f t="shared" si="36"/>
        <v>45736</v>
      </c>
      <c r="B916" s="40">
        <v>45736</v>
      </c>
      <c r="C916" s="65">
        <f t="shared" si="38"/>
        <v>0</v>
      </c>
      <c r="E916" s="3" t="str">
        <f t="shared" si="37"/>
        <v>1Q2025</v>
      </c>
      <c r="F916" s="49" t="str">
        <f>+F915</f>
        <v>N/A</v>
      </c>
    </row>
    <row r="917" spans="1:6" ht="12.75">
      <c r="A917" s="39">
        <f t="shared" si="36"/>
        <v>45767</v>
      </c>
      <c r="B917" s="40">
        <v>45767</v>
      </c>
      <c r="C917" s="65">
        <f t="shared" si="38"/>
        <v>0</v>
      </c>
      <c r="E917" s="3" t="str">
        <f t="shared" si="37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6"/>
        <v>45797</v>
      </c>
      <c r="B918" s="46">
        <v>45797</v>
      </c>
      <c r="C918" s="65">
        <f t="shared" si="38"/>
        <v>0</v>
      </c>
      <c r="E918" s="3" t="str">
        <f t="shared" si="37"/>
        <v>2Q2025</v>
      </c>
      <c r="F918" s="49" t="str">
        <f>+F917</f>
        <v>N/A</v>
      </c>
    </row>
    <row r="919" spans="1:6" ht="12.75">
      <c r="A919" s="39">
        <f t="shared" si="36"/>
        <v>45828</v>
      </c>
      <c r="B919" s="40">
        <v>45828</v>
      </c>
      <c r="C919" s="65">
        <f t="shared" si="38"/>
        <v>0</v>
      </c>
      <c r="E919" s="3" t="str">
        <f t="shared" si="37"/>
        <v>2Q2025</v>
      </c>
      <c r="F919" s="49" t="str">
        <f>+F918</f>
        <v>N/A</v>
      </c>
    </row>
    <row r="920" spans="1:6" ht="12.75">
      <c r="A920" s="39">
        <f t="shared" si="36"/>
        <v>45858</v>
      </c>
      <c r="B920" s="40">
        <v>45858</v>
      </c>
      <c r="C920" s="65">
        <f t="shared" si="38"/>
        <v>0</v>
      </c>
      <c r="E920" s="3" t="str">
        <f t="shared" si="37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6"/>
        <v>45889</v>
      </c>
      <c r="B921" s="46">
        <v>45889</v>
      </c>
      <c r="C921" s="65">
        <f t="shared" si="38"/>
        <v>0</v>
      </c>
      <c r="E921" s="3" t="str">
        <f t="shared" si="37"/>
        <v>3Q2025</v>
      </c>
      <c r="F921" s="49" t="str">
        <f>+F920</f>
        <v>N/A</v>
      </c>
    </row>
    <row r="922" spans="1:6" ht="12.75">
      <c r="A922" s="39">
        <f t="shared" si="36"/>
        <v>45920</v>
      </c>
      <c r="B922" s="40">
        <v>45920</v>
      </c>
      <c r="C922" s="65">
        <f t="shared" si="38"/>
        <v>0</v>
      </c>
      <c r="E922" s="3" t="str">
        <f t="shared" si="37"/>
        <v>3Q2025</v>
      </c>
      <c r="F922" s="49" t="str">
        <f>+F921</f>
        <v>N/A</v>
      </c>
    </row>
    <row r="923" spans="1:6" ht="12.75">
      <c r="A923" s="39">
        <f t="shared" si="36"/>
        <v>45950</v>
      </c>
      <c r="B923" s="40">
        <v>45950</v>
      </c>
      <c r="C923" s="65">
        <f t="shared" si="38"/>
        <v>0</v>
      </c>
      <c r="E923" s="3" t="str">
        <f t="shared" si="37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6"/>
        <v>45981</v>
      </c>
      <c r="B924" s="46">
        <v>45981</v>
      </c>
      <c r="C924" s="65">
        <f t="shared" si="38"/>
        <v>0</v>
      </c>
      <c r="E924" s="3" t="str">
        <f t="shared" si="37"/>
        <v>4Q2025</v>
      </c>
      <c r="F924" s="49" t="str">
        <f>+F923</f>
        <v>N/A</v>
      </c>
    </row>
    <row r="925" spans="1:6" ht="12.75">
      <c r="A925" s="39">
        <f t="shared" si="36"/>
        <v>46011</v>
      </c>
      <c r="B925" s="40">
        <v>46011</v>
      </c>
      <c r="C925" s="65">
        <f t="shared" si="38"/>
        <v>0</v>
      </c>
      <c r="E925" s="3" t="str">
        <f t="shared" si="37"/>
        <v>4Q2025</v>
      </c>
      <c r="F925" s="49" t="str">
        <f>+F924</f>
        <v>N/A</v>
      </c>
    </row>
    <row r="926" spans="1:6" ht="12.75">
      <c r="A926" s="39">
        <f t="shared" si="36"/>
        <v>46042</v>
      </c>
      <c r="B926" s="40">
        <v>46042</v>
      </c>
      <c r="C926" s="65">
        <f t="shared" si="38"/>
        <v>0</v>
      </c>
      <c r="E926" s="3" t="str">
        <f t="shared" si="37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6"/>
        <v>46073</v>
      </c>
      <c r="B927" s="46">
        <v>46073</v>
      </c>
      <c r="C927" s="65">
        <f t="shared" si="38"/>
        <v>0</v>
      </c>
      <c r="E927" s="3" t="str">
        <f t="shared" si="37"/>
        <v>1Q2026</v>
      </c>
      <c r="F927" s="49" t="str">
        <f>+F926</f>
        <v>N/A</v>
      </c>
    </row>
    <row r="928" spans="1:6" ht="12.75">
      <c r="A928" s="39">
        <f t="shared" si="36"/>
        <v>46101</v>
      </c>
      <c r="B928" s="40">
        <v>46101</v>
      </c>
      <c r="C928" s="65">
        <f t="shared" si="38"/>
        <v>0</v>
      </c>
      <c r="E928" s="3" t="str">
        <f t="shared" si="37"/>
        <v>1Q2026</v>
      </c>
      <c r="F928" s="49" t="str">
        <f>+F927</f>
        <v>N/A</v>
      </c>
    </row>
    <row r="929" spans="1:6" ht="12.75">
      <c r="A929" s="39">
        <f t="shared" si="36"/>
        <v>46132</v>
      </c>
      <c r="B929" s="40">
        <v>46132</v>
      </c>
      <c r="C929" s="65">
        <f t="shared" si="38"/>
        <v>0</v>
      </c>
      <c r="E929" s="3" t="str">
        <f t="shared" si="37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6"/>
        <v>46162</v>
      </c>
      <c r="B930" s="46">
        <v>46162</v>
      </c>
      <c r="C930" s="65">
        <f t="shared" si="38"/>
        <v>0</v>
      </c>
      <c r="E930" s="3" t="str">
        <f t="shared" si="37"/>
        <v>2Q2026</v>
      </c>
      <c r="F930" s="49" t="str">
        <f>+F929</f>
        <v>N/A</v>
      </c>
    </row>
    <row r="931" spans="1:6" ht="12.75">
      <c r="A931" s="39">
        <f t="shared" si="36"/>
        <v>46193</v>
      </c>
      <c r="B931" s="40">
        <v>46193</v>
      </c>
      <c r="C931" s="65">
        <f t="shared" si="38"/>
        <v>0</v>
      </c>
      <c r="E931" s="3" t="str">
        <f t="shared" si="37"/>
        <v>2Q2026</v>
      </c>
      <c r="F931" s="49" t="str">
        <f>+F930</f>
        <v>N/A</v>
      </c>
    </row>
    <row r="932" spans="1:6" ht="12.75">
      <c r="A932" s="39">
        <f t="shared" si="36"/>
        <v>46223</v>
      </c>
      <c r="B932" s="40">
        <v>46223</v>
      </c>
      <c r="C932" s="65">
        <f t="shared" si="38"/>
        <v>0</v>
      </c>
      <c r="E932" s="3" t="str">
        <f t="shared" si="37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6"/>
        <v>46254</v>
      </c>
      <c r="B933" s="46">
        <v>46254</v>
      </c>
      <c r="C933" s="65">
        <f t="shared" si="38"/>
        <v>0</v>
      </c>
      <c r="E933" s="3" t="str">
        <f t="shared" si="37"/>
        <v>3Q2026</v>
      </c>
      <c r="F933" s="49" t="str">
        <f>+F932</f>
        <v>N/A</v>
      </c>
    </row>
    <row r="934" spans="1:6" ht="12.75">
      <c r="A934" s="39">
        <f t="shared" si="36"/>
        <v>46285</v>
      </c>
      <c r="B934" s="40">
        <v>46285</v>
      </c>
      <c r="C934" s="65">
        <f t="shared" si="38"/>
        <v>0</v>
      </c>
      <c r="E934" s="3" t="str">
        <f t="shared" si="37"/>
        <v>3Q2026</v>
      </c>
      <c r="F934" s="49" t="str">
        <f>+F933</f>
        <v>N/A</v>
      </c>
    </row>
    <row r="935" spans="1:6" ht="12.75">
      <c r="A935" s="39">
        <f t="shared" si="36"/>
        <v>46315</v>
      </c>
      <c r="B935" s="40">
        <v>46315</v>
      </c>
      <c r="C935" s="65">
        <f t="shared" si="38"/>
        <v>0</v>
      </c>
      <c r="E935" s="3" t="str">
        <f t="shared" si="37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6"/>
        <v>46346</v>
      </c>
      <c r="B936" s="46">
        <v>46346</v>
      </c>
      <c r="C936" s="65">
        <f t="shared" si="38"/>
        <v>0</v>
      </c>
      <c r="E936" s="3" t="str">
        <f t="shared" si="37"/>
        <v>4Q2026</v>
      </c>
      <c r="F936" s="49" t="str">
        <f>+F935</f>
        <v>N/A</v>
      </c>
    </row>
    <row r="937" spans="1:6" ht="12.75">
      <c r="A937" s="39">
        <f t="shared" si="36"/>
        <v>46376</v>
      </c>
      <c r="B937" s="40">
        <v>46376</v>
      </c>
      <c r="C937" s="65">
        <f t="shared" si="38"/>
        <v>0</v>
      </c>
      <c r="E937" s="3" t="str">
        <f t="shared" si="37"/>
        <v>4Q2026</v>
      </c>
      <c r="F937" s="49" t="str">
        <f>+F936</f>
        <v>N/A</v>
      </c>
    </row>
    <row r="938" spans="1:6" ht="12.75">
      <c r="A938" s="39">
        <f t="shared" si="36"/>
        <v>46407</v>
      </c>
      <c r="B938" s="40">
        <v>46407</v>
      </c>
      <c r="C938" s="65">
        <f t="shared" si="38"/>
        <v>0</v>
      </c>
      <c r="E938" s="3" t="str">
        <f t="shared" si="37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6"/>
        <v>46438</v>
      </c>
      <c r="B939" s="46">
        <v>46438</v>
      </c>
      <c r="C939" s="65">
        <f t="shared" si="38"/>
        <v>0</v>
      </c>
      <c r="E939" s="3" t="str">
        <f t="shared" si="37"/>
        <v>1Q2027</v>
      </c>
      <c r="F939" s="49" t="str">
        <f>+F938</f>
        <v>N/A</v>
      </c>
    </row>
    <row r="940" spans="1:6" ht="12.75">
      <c r="A940" s="39">
        <f t="shared" si="36"/>
        <v>46466</v>
      </c>
      <c r="B940" s="40">
        <v>46466</v>
      </c>
      <c r="C940" s="65">
        <f t="shared" si="38"/>
        <v>0</v>
      </c>
      <c r="E940" s="3" t="str">
        <f t="shared" si="37"/>
        <v>1Q2027</v>
      </c>
      <c r="F940" s="49" t="str">
        <f>+F939</f>
        <v>N/A</v>
      </c>
    </row>
    <row r="941" spans="1:6" ht="12.75">
      <c r="A941" s="39">
        <f t="shared" si="36"/>
        <v>46497</v>
      </c>
      <c r="B941" s="40">
        <v>46497</v>
      </c>
      <c r="C941" s="65">
        <f t="shared" si="38"/>
        <v>0</v>
      </c>
      <c r="E941" s="3" t="str">
        <f t="shared" si="37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6"/>
        <v>46527</v>
      </c>
      <c r="B942" s="46">
        <v>46527</v>
      </c>
      <c r="C942" s="65">
        <f t="shared" si="38"/>
        <v>0</v>
      </c>
      <c r="E942" s="3" t="str">
        <f t="shared" si="37"/>
        <v>2Q2027</v>
      </c>
      <c r="F942" s="49" t="str">
        <f>+F941</f>
        <v>N/A</v>
      </c>
    </row>
    <row r="943" spans="1:6" ht="12.75">
      <c r="A943" s="39">
        <f t="shared" si="36"/>
        <v>46558</v>
      </c>
      <c r="B943" s="40">
        <v>46558</v>
      </c>
      <c r="C943" s="65">
        <f t="shared" si="38"/>
        <v>0</v>
      </c>
      <c r="E943" s="3" t="str">
        <f t="shared" si="37"/>
        <v>2Q2027</v>
      </c>
      <c r="F943" s="49" t="str">
        <f>+F942</f>
        <v>N/A</v>
      </c>
    </row>
    <row r="944" spans="1:6" ht="12.75">
      <c r="A944" s="39">
        <f t="shared" si="36"/>
        <v>46588</v>
      </c>
      <c r="B944" s="40">
        <v>46588</v>
      </c>
      <c r="C944" s="65">
        <f t="shared" si="38"/>
        <v>0</v>
      </c>
      <c r="E944" s="3" t="str">
        <f t="shared" si="37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6"/>
        <v>46619</v>
      </c>
      <c r="B945" s="46">
        <v>46619</v>
      </c>
      <c r="C945" s="65">
        <f t="shared" si="38"/>
        <v>0</v>
      </c>
      <c r="E945" s="3" t="str">
        <f t="shared" si="37"/>
        <v>3Q2027</v>
      </c>
      <c r="F945" s="49" t="str">
        <f>+F944</f>
        <v>N/A</v>
      </c>
    </row>
    <row r="946" spans="1:6" ht="12.75">
      <c r="A946" s="39">
        <f t="shared" si="36"/>
        <v>46650</v>
      </c>
      <c r="B946" s="40">
        <v>46650</v>
      </c>
      <c r="C946" s="65">
        <f t="shared" si="38"/>
        <v>0</v>
      </c>
      <c r="E946" s="3" t="str">
        <f t="shared" si="37"/>
        <v>3Q2027</v>
      </c>
      <c r="F946" s="49" t="str">
        <f>+F945</f>
        <v>N/A</v>
      </c>
    </row>
    <row r="947" spans="1:6" ht="12.75">
      <c r="A947" s="39">
        <f t="shared" si="36"/>
        <v>46680</v>
      </c>
      <c r="B947" s="40">
        <v>46680</v>
      </c>
      <c r="C947" s="65">
        <f t="shared" si="38"/>
        <v>0</v>
      </c>
      <c r="E947" s="3" t="str">
        <f t="shared" si="37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6"/>
        <v>46711</v>
      </c>
      <c r="B948" s="46">
        <v>46711</v>
      </c>
      <c r="C948" s="65">
        <f t="shared" si="38"/>
        <v>0</v>
      </c>
      <c r="E948" s="3" t="str">
        <f t="shared" si="37"/>
        <v>4Q2027</v>
      </c>
      <c r="F948" s="49" t="str">
        <f>+F947</f>
        <v>N/A</v>
      </c>
    </row>
    <row r="949" spans="1:6" ht="12.75">
      <c r="A949" s="39">
        <f t="shared" si="36"/>
        <v>46741</v>
      </c>
      <c r="B949" s="40">
        <v>46741</v>
      </c>
      <c r="C949" s="65">
        <f t="shared" si="38"/>
        <v>0</v>
      </c>
      <c r="E949" s="3" t="str">
        <f t="shared" si="37"/>
        <v>4Q2027</v>
      </c>
      <c r="F949" s="49" t="str">
        <f>+F948</f>
        <v>N/A</v>
      </c>
    </row>
    <row r="950" spans="1:6" ht="12.75">
      <c r="A950" s="39">
        <f t="shared" si="36"/>
        <v>46772</v>
      </c>
      <c r="B950" s="40">
        <v>46772</v>
      </c>
      <c r="C950" s="65">
        <f t="shared" si="38"/>
        <v>0</v>
      </c>
      <c r="E950" s="3" t="str">
        <f t="shared" si="37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6"/>
        <v>46803</v>
      </c>
      <c r="B951" s="46">
        <v>46803</v>
      </c>
      <c r="C951" s="65">
        <f t="shared" si="38"/>
        <v>0</v>
      </c>
      <c r="E951" s="3" t="str">
        <f t="shared" si="37"/>
        <v>1Q2028</v>
      </c>
      <c r="F951" s="49" t="str">
        <f>+F950</f>
        <v>N/A</v>
      </c>
    </row>
    <row r="952" spans="1:6" ht="12.75">
      <c r="A952" s="39">
        <f t="shared" si="36"/>
        <v>46832</v>
      </c>
      <c r="B952" s="40">
        <v>46832</v>
      </c>
      <c r="C952" s="65">
        <f t="shared" si="38"/>
        <v>0</v>
      </c>
      <c r="E952" s="3" t="str">
        <f t="shared" si="37"/>
        <v>1Q2028</v>
      </c>
      <c r="F952" s="49" t="str">
        <f>+F951</f>
        <v>N/A</v>
      </c>
    </row>
    <row r="953" spans="1:6" ht="12.75">
      <c r="A953" s="39">
        <f t="shared" si="36"/>
        <v>46863</v>
      </c>
      <c r="B953" s="40">
        <v>46863</v>
      </c>
      <c r="C953" s="65">
        <f t="shared" si="38"/>
        <v>0</v>
      </c>
      <c r="E953" s="3" t="str">
        <f t="shared" si="37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6"/>
        <v>46893</v>
      </c>
      <c r="B954" s="46">
        <v>46893</v>
      </c>
      <c r="C954" s="65">
        <f t="shared" si="38"/>
        <v>0</v>
      </c>
      <c r="E954" s="3" t="str">
        <f t="shared" si="37"/>
        <v>2Q2028</v>
      </c>
      <c r="F954" s="49" t="str">
        <f>+F953</f>
        <v>N/A</v>
      </c>
    </row>
    <row r="955" spans="1:6" ht="12.75">
      <c r="A955" s="39">
        <f t="shared" si="36"/>
        <v>46924</v>
      </c>
      <c r="B955" s="40">
        <v>46924</v>
      </c>
      <c r="C955" s="65">
        <f t="shared" si="38"/>
        <v>0</v>
      </c>
      <c r="E955" s="3" t="str">
        <f t="shared" si="37"/>
        <v>2Q2028</v>
      </c>
      <c r="F955" s="49" t="str">
        <f>+F954</f>
        <v>N/A</v>
      </c>
    </row>
    <row r="956" spans="1:6" ht="12.75">
      <c r="A956" s="39">
        <f t="shared" si="36"/>
        <v>46954</v>
      </c>
      <c r="B956" s="40">
        <v>46954</v>
      </c>
      <c r="C956" s="65">
        <f t="shared" si="38"/>
        <v>0</v>
      </c>
      <c r="E956" s="3" t="str">
        <f t="shared" si="37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6"/>
        <v>46985</v>
      </c>
      <c r="B957" s="46">
        <v>46985</v>
      </c>
      <c r="C957" s="65">
        <f t="shared" si="38"/>
        <v>0</v>
      </c>
      <c r="E957" s="3" t="str">
        <f t="shared" si="37"/>
        <v>3Q2028</v>
      </c>
      <c r="F957" s="49" t="str">
        <f>+F956</f>
        <v>N/A</v>
      </c>
    </row>
    <row r="958" spans="1:6" ht="12.75">
      <c r="A958" s="39">
        <f t="shared" si="36"/>
        <v>47016</v>
      </c>
      <c r="B958" s="40">
        <v>47016</v>
      </c>
      <c r="C958" s="65">
        <f t="shared" si="38"/>
        <v>0</v>
      </c>
      <c r="E958" s="3" t="str">
        <f t="shared" si="37"/>
        <v>3Q2028</v>
      </c>
      <c r="F958" s="49" t="str">
        <f>+F957</f>
        <v>N/A</v>
      </c>
    </row>
    <row r="959" spans="1:6" ht="12.75">
      <c r="A959" s="39">
        <f t="shared" si="36"/>
        <v>47046</v>
      </c>
      <c r="B959" s="40">
        <v>47046</v>
      </c>
      <c r="C959" s="65">
        <f t="shared" si="38"/>
        <v>0</v>
      </c>
      <c r="E959" s="3" t="str">
        <f t="shared" si="37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6"/>
        <v>47077</v>
      </c>
      <c r="B960" s="46">
        <v>47077</v>
      </c>
      <c r="C960" s="65">
        <f t="shared" si="38"/>
        <v>0</v>
      </c>
      <c r="E960" s="3" t="str">
        <f t="shared" si="37"/>
        <v>4Q2028</v>
      </c>
      <c r="F960" s="49" t="str">
        <f>+F959</f>
        <v>N/A</v>
      </c>
    </row>
    <row r="961" spans="1:6" ht="12.75">
      <c r="A961" s="39">
        <f t="shared" si="36"/>
        <v>47107</v>
      </c>
      <c r="B961" s="40">
        <v>47107</v>
      </c>
      <c r="C961" s="65">
        <f t="shared" si="38"/>
        <v>0</v>
      </c>
      <c r="E961" s="3" t="str">
        <f t="shared" si="37"/>
        <v>4Q2028</v>
      </c>
      <c r="F961" s="49" t="str">
        <f>+F960</f>
        <v>N/A</v>
      </c>
    </row>
    <row r="962" spans="1:6" ht="12.75">
      <c r="A962" s="39">
        <f t="shared" si="36"/>
        <v>47138</v>
      </c>
      <c r="B962" s="40">
        <v>47138</v>
      </c>
      <c r="C962" s="65">
        <f t="shared" si="38"/>
        <v>0</v>
      </c>
      <c r="E962" s="3" t="str">
        <f t="shared" si="37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6"/>
        <v>47169</v>
      </c>
      <c r="B963" s="46">
        <v>47169</v>
      </c>
      <c r="C963" s="65">
        <f t="shared" si="38"/>
        <v>0</v>
      </c>
      <c r="E963" s="3" t="str">
        <f t="shared" si="37"/>
        <v>1Q2029</v>
      </c>
      <c r="F963" s="49" t="str">
        <f>+F962</f>
        <v>N/A</v>
      </c>
    </row>
    <row r="964" spans="1:6" ht="12.75">
      <c r="A964" s="39">
        <f t="shared" si="36"/>
        <v>47197</v>
      </c>
      <c r="B964" s="40">
        <v>47197</v>
      </c>
      <c r="C964" s="65">
        <f t="shared" si="38"/>
        <v>0</v>
      </c>
      <c r="E964" s="3" t="str">
        <f t="shared" si="37"/>
        <v>1Q2029</v>
      </c>
      <c r="F964" s="49" t="str">
        <f>+F963</f>
        <v>N/A</v>
      </c>
    </row>
    <row r="965" spans="1:6" ht="12.75">
      <c r="A965" s="39">
        <f aca="true" t="shared" si="39" ref="A965:A1028">+B965</f>
        <v>47228</v>
      </c>
      <c r="B965" s="40">
        <v>47228</v>
      </c>
      <c r="C965" s="65">
        <f t="shared" si="38"/>
        <v>0</v>
      </c>
      <c r="E965" s="3" t="str">
        <f t="shared" si="37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9"/>
        <v>47258</v>
      </c>
      <c r="B966" s="46">
        <v>47258</v>
      </c>
      <c r="C966" s="65">
        <f t="shared" si="38"/>
        <v>0</v>
      </c>
      <c r="E966" s="3" t="str">
        <f t="shared" si="37"/>
        <v>2Q2029</v>
      </c>
      <c r="F966" s="49" t="str">
        <f>+F965</f>
        <v>N/A</v>
      </c>
    </row>
    <row r="967" spans="1:6" ht="12.75">
      <c r="A967" s="39">
        <f t="shared" si="39"/>
        <v>47289</v>
      </c>
      <c r="B967" s="40">
        <v>47289</v>
      </c>
      <c r="C967" s="65">
        <f t="shared" si="38"/>
        <v>0</v>
      </c>
      <c r="E967" s="3" t="str">
        <f t="shared" si="37"/>
        <v>2Q2029</v>
      </c>
      <c r="F967" s="49" t="str">
        <f>+F966</f>
        <v>N/A</v>
      </c>
    </row>
    <row r="968" spans="1:6" ht="12.75">
      <c r="A968" s="39">
        <f t="shared" si="39"/>
        <v>47319</v>
      </c>
      <c r="B968" s="40">
        <v>47319</v>
      </c>
      <c r="C968" s="65">
        <f t="shared" si="38"/>
        <v>0</v>
      </c>
      <c r="E968" s="3" t="str">
        <f t="shared" si="37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9"/>
        <v>47350</v>
      </c>
      <c r="B969" s="46">
        <v>47350</v>
      </c>
      <c r="C969" s="65">
        <f t="shared" si="38"/>
        <v>0</v>
      </c>
      <c r="E969" s="3" t="str">
        <f t="shared" si="37"/>
        <v>3Q2029</v>
      </c>
      <c r="F969" s="49" t="str">
        <f>+F968</f>
        <v>N/A</v>
      </c>
    </row>
    <row r="970" spans="1:6" ht="12.75">
      <c r="A970" s="39">
        <f t="shared" si="39"/>
        <v>47381</v>
      </c>
      <c r="B970" s="40">
        <v>47381</v>
      </c>
      <c r="C970" s="65">
        <f t="shared" si="38"/>
        <v>0</v>
      </c>
      <c r="E970" s="3" t="str">
        <f t="shared" si="37"/>
        <v>3Q2029</v>
      </c>
      <c r="F970" s="49" t="str">
        <f>+F969</f>
        <v>N/A</v>
      </c>
    </row>
    <row r="971" spans="1:6" ht="12.75">
      <c r="A971" s="39">
        <f t="shared" si="39"/>
        <v>47411</v>
      </c>
      <c r="B971" s="40">
        <v>47411</v>
      </c>
      <c r="C971" s="65">
        <f t="shared" si="38"/>
        <v>0</v>
      </c>
      <c r="E971" s="3" t="str">
        <f aca="true" t="shared" si="40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9"/>
        <v>47442</v>
      </c>
      <c r="B972" s="46">
        <v>47442</v>
      </c>
      <c r="C972" s="65">
        <f t="shared" si="38"/>
        <v>0</v>
      </c>
      <c r="E972" s="3" t="str">
        <f t="shared" si="40"/>
        <v>4Q2029</v>
      </c>
      <c r="F972" s="49" t="str">
        <f>+F971</f>
        <v>N/A</v>
      </c>
    </row>
    <row r="973" spans="1:6" ht="12.75">
      <c r="A973" s="39">
        <f t="shared" si="39"/>
        <v>47472</v>
      </c>
      <c r="B973" s="40">
        <v>47472</v>
      </c>
      <c r="C973" s="65">
        <f t="shared" si="38"/>
        <v>0</v>
      </c>
      <c r="E973" s="3" t="str">
        <f t="shared" si="40"/>
        <v>4Q2029</v>
      </c>
      <c r="F973" s="49" t="str">
        <f>+F972</f>
        <v>N/A</v>
      </c>
    </row>
    <row r="974" spans="1:6" ht="12.75">
      <c r="A974" s="39">
        <f t="shared" si="39"/>
        <v>47503</v>
      </c>
      <c r="B974" s="40">
        <v>47503</v>
      </c>
      <c r="C974" s="65">
        <f t="shared" si="38"/>
        <v>0</v>
      </c>
      <c r="E974" s="3" t="str">
        <f t="shared" si="40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9"/>
        <v>47534</v>
      </c>
      <c r="B975" s="46">
        <v>47534</v>
      </c>
      <c r="C975" s="65">
        <f t="shared" si="38"/>
        <v>0</v>
      </c>
      <c r="E975" s="3" t="str">
        <f t="shared" si="40"/>
        <v>1Q2030</v>
      </c>
      <c r="F975" s="49" t="str">
        <f>+F974</f>
        <v>N/A</v>
      </c>
    </row>
    <row r="976" spans="1:6" ht="12.75">
      <c r="A976" s="39">
        <f t="shared" si="39"/>
        <v>47562</v>
      </c>
      <c r="B976" s="40">
        <v>47562</v>
      </c>
      <c r="C976" s="65">
        <f aca="true" t="shared" si="41" ref="C976:C1039">+L976%</f>
        <v>0</v>
      </c>
      <c r="E976" s="3" t="str">
        <f t="shared" si="40"/>
        <v>1Q2030</v>
      </c>
      <c r="F976" s="49" t="str">
        <f>+F975</f>
        <v>N/A</v>
      </c>
    </row>
    <row r="977" spans="1:6" ht="12.75">
      <c r="A977" s="39">
        <f t="shared" si="39"/>
        <v>47593</v>
      </c>
      <c r="B977" s="40">
        <v>47593</v>
      </c>
      <c r="C977" s="65">
        <f t="shared" si="41"/>
        <v>0</v>
      </c>
      <c r="E977" s="3" t="str">
        <f t="shared" si="40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9"/>
        <v>47623</v>
      </c>
      <c r="B978" s="46">
        <v>47623</v>
      </c>
      <c r="C978" s="65">
        <f t="shared" si="41"/>
        <v>0</v>
      </c>
      <c r="E978" s="3" t="str">
        <f t="shared" si="40"/>
        <v>2Q2030</v>
      </c>
      <c r="F978" s="49" t="str">
        <f>+F977</f>
        <v>N/A</v>
      </c>
    </row>
    <row r="979" spans="1:6" ht="12.75">
      <c r="A979" s="39">
        <f t="shared" si="39"/>
        <v>47654</v>
      </c>
      <c r="B979" s="40">
        <v>47654</v>
      </c>
      <c r="C979" s="65">
        <f t="shared" si="41"/>
        <v>0</v>
      </c>
      <c r="E979" s="3" t="str">
        <f t="shared" si="40"/>
        <v>2Q2030</v>
      </c>
      <c r="F979" s="49" t="str">
        <f>+F978</f>
        <v>N/A</v>
      </c>
    </row>
    <row r="980" spans="1:6" ht="12.75">
      <c r="A980" s="39">
        <f t="shared" si="39"/>
        <v>47684</v>
      </c>
      <c r="B980" s="40">
        <v>47684</v>
      </c>
      <c r="C980" s="65">
        <f t="shared" si="41"/>
        <v>0</v>
      </c>
      <c r="E980" s="3" t="str">
        <f t="shared" si="40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9"/>
        <v>47715</v>
      </c>
      <c r="B981" s="46">
        <v>47715</v>
      </c>
      <c r="C981" s="65">
        <f t="shared" si="41"/>
        <v>0</v>
      </c>
      <c r="E981" s="3" t="str">
        <f t="shared" si="40"/>
        <v>3Q2030</v>
      </c>
      <c r="F981" s="49" t="str">
        <f>+F980</f>
        <v>N/A</v>
      </c>
    </row>
    <row r="982" spans="1:6" ht="12.75">
      <c r="A982" s="39">
        <f t="shared" si="39"/>
        <v>47746</v>
      </c>
      <c r="B982" s="40">
        <v>47746</v>
      </c>
      <c r="C982" s="65">
        <f t="shared" si="41"/>
        <v>0</v>
      </c>
      <c r="E982" s="3" t="str">
        <f t="shared" si="40"/>
        <v>3Q2030</v>
      </c>
      <c r="F982" s="49" t="str">
        <f>+F981</f>
        <v>N/A</v>
      </c>
    </row>
    <row r="983" spans="1:6" ht="12.75">
      <c r="A983" s="39">
        <f t="shared" si="39"/>
        <v>47776</v>
      </c>
      <c r="B983" s="40">
        <v>47776</v>
      </c>
      <c r="C983" s="65">
        <f t="shared" si="41"/>
        <v>0</v>
      </c>
      <c r="E983" s="3" t="str">
        <f t="shared" si="40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9"/>
        <v>47807</v>
      </c>
      <c r="B984" s="46">
        <v>47807</v>
      </c>
      <c r="C984" s="65">
        <f t="shared" si="41"/>
        <v>0</v>
      </c>
      <c r="E984" s="3" t="str">
        <f t="shared" si="40"/>
        <v>4Q2030</v>
      </c>
      <c r="F984" s="49" t="str">
        <f>+F983</f>
        <v>N/A</v>
      </c>
    </row>
    <row r="985" spans="1:6" ht="12.75">
      <c r="A985" s="39">
        <f t="shared" si="39"/>
        <v>47837</v>
      </c>
      <c r="B985" s="40">
        <v>47837</v>
      </c>
      <c r="C985" s="65">
        <f t="shared" si="41"/>
        <v>0</v>
      </c>
      <c r="E985" s="3" t="str">
        <f t="shared" si="40"/>
        <v>4Q2030</v>
      </c>
      <c r="F985" s="49" t="str">
        <f>+F984</f>
        <v>N/A</v>
      </c>
    </row>
    <row r="986" spans="1:6" ht="12.75">
      <c r="A986" s="39">
        <f t="shared" si="39"/>
        <v>47868</v>
      </c>
      <c r="B986" s="40">
        <v>47868</v>
      </c>
      <c r="C986" s="65">
        <f t="shared" si="41"/>
        <v>0</v>
      </c>
      <c r="E986" s="3" t="str">
        <f t="shared" si="40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9"/>
        <v>47899</v>
      </c>
      <c r="B987" s="46">
        <v>47899</v>
      </c>
      <c r="C987" s="65">
        <f t="shared" si="41"/>
        <v>0</v>
      </c>
      <c r="E987" s="3" t="str">
        <f t="shared" si="40"/>
        <v>1Q2031</v>
      </c>
      <c r="F987" s="49" t="str">
        <f>+F986</f>
        <v>N/A</v>
      </c>
    </row>
    <row r="988" spans="1:6" ht="12.75">
      <c r="A988" s="39">
        <f t="shared" si="39"/>
        <v>47927</v>
      </c>
      <c r="B988" s="40">
        <v>47927</v>
      </c>
      <c r="C988" s="65">
        <f t="shared" si="41"/>
        <v>0</v>
      </c>
      <c r="E988" s="3" t="str">
        <f t="shared" si="40"/>
        <v>1Q2031</v>
      </c>
      <c r="F988" s="49" t="str">
        <f>+F987</f>
        <v>N/A</v>
      </c>
    </row>
    <row r="989" spans="1:6" ht="12.75">
      <c r="A989" s="39">
        <f t="shared" si="39"/>
        <v>47958</v>
      </c>
      <c r="B989" s="40">
        <v>47958</v>
      </c>
      <c r="C989" s="65">
        <f t="shared" si="41"/>
        <v>0</v>
      </c>
      <c r="E989" s="3" t="str">
        <f t="shared" si="40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9"/>
        <v>47988</v>
      </c>
      <c r="B990" s="46">
        <v>47988</v>
      </c>
      <c r="C990" s="65">
        <f t="shared" si="41"/>
        <v>0</v>
      </c>
      <c r="E990" s="3" t="str">
        <f t="shared" si="40"/>
        <v>2Q2031</v>
      </c>
      <c r="F990" s="49" t="str">
        <f>+F989</f>
        <v>N/A</v>
      </c>
    </row>
    <row r="991" spans="1:6" ht="12.75">
      <c r="A991" s="39">
        <f t="shared" si="39"/>
        <v>48019</v>
      </c>
      <c r="B991" s="40">
        <v>48019</v>
      </c>
      <c r="C991" s="65">
        <f t="shared" si="41"/>
        <v>0</v>
      </c>
      <c r="E991" s="3" t="str">
        <f t="shared" si="40"/>
        <v>2Q2031</v>
      </c>
      <c r="F991" s="49" t="str">
        <f>+F990</f>
        <v>N/A</v>
      </c>
    </row>
    <row r="992" spans="1:6" ht="12.75">
      <c r="A992" s="39">
        <f t="shared" si="39"/>
        <v>48049</v>
      </c>
      <c r="B992" s="40">
        <v>48049</v>
      </c>
      <c r="C992" s="65">
        <f t="shared" si="41"/>
        <v>0</v>
      </c>
      <c r="E992" s="3" t="str">
        <f t="shared" si="40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9"/>
        <v>48080</v>
      </c>
      <c r="B993" s="46">
        <v>48080</v>
      </c>
      <c r="C993" s="65">
        <f t="shared" si="41"/>
        <v>0</v>
      </c>
      <c r="E993" s="3" t="str">
        <f t="shared" si="40"/>
        <v>3Q2031</v>
      </c>
      <c r="F993" s="49" t="str">
        <f>+F992</f>
        <v>N/A</v>
      </c>
    </row>
    <row r="994" spans="1:6" ht="12.75">
      <c r="A994" s="39">
        <f t="shared" si="39"/>
        <v>48111</v>
      </c>
      <c r="B994" s="40">
        <v>48111</v>
      </c>
      <c r="C994" s="65">
        <f t="shared" si="41"/>
        <v>0</v>
      </c>
      <c r="E994" s="3" t="str">
        <f t="shared" si="40"/>
        <v>3Q2031</v>
      </c>
      <c r="F994" s="49" t="str">
        <f>+F993</f>
        <v>N/A</v>
      </c>
    </row>
    <row r="995" spans="1:6" ht="12.75">
      <c r="A995" s="39">
        <f t="shared" si="39"/>
        <v>48141</v>
      </c>
      <c r="B995" s="40">
        <v>48141</v>
      </c>
      <c r="C995" s="65">
        <f t="shared" si="41"/>
        <v>0</v>
      </c>
      <c r="E995" s="3" t="str">
        <f t="shared" si="40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9"/>
        <v>48172</v>
      </c>
      <c r="B996" s="46">
        <v>48172</v>
      </c>
      <c r="C996" s="65">
        <f t="shared" si="41"/>
        <v>0</v>
      </c>
      <c r="E996" s="3" t="str">
        <f t="shared" si="40"/>
        <v>4Q2031</v>
      </c>
      <c r="F996" s="49" t="str">
        <f>+F995</f>
        <v>N/A</v>
      </c>
    </row>
    <row r="997" spans="1:6" ht="12.75">
      <c r="A997" s="39">
        <f t="shared" si="39"/>
        <v>48202</v>
      </c>
      <c r="B997" s="40">
        <v>48202</v>
      </c>
      <c r="C997" s="65">
        <f t="shared" si="41"/>
        <v>0</v>
      </c>
      <c r="E997" s="3" t="str">
        <f t="shared" si="40"/>
        <v>4Q2031</v>
      </c>
      <c r="F997" s="49" t="str">
        <f>+F996</f>
        <v>N/A</v>
      </c>
    </row>
    <row r="998" spans="1:6" ht="12.75">
      <c r="A998" s="39">
        <f t="shared" si="39"/>
        <v>48233</v>
      </c>
      <c r="B998" s="40">
        <v>48233</v>
      </c>
      <c r="C998" s="65">
        <f t="shared" si="41"/>
        <v>0</v>
      </c>
      <c r="E998" s="3" t="str">
        <f t="shared" si="40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9"/>
        <v>48264</v>
      </c>
      <c r="B999" s="46">
        <v>48264</v>
      </c>
      <c r="C999" s="65">
        <f t="shared" si="41"/>
        <v>0</v>
      </c>
      <c r="E999" s="3" t="str">
        <f t="shared" si="40"/>
        <v>1Q2032</v>
      </c>
      <c r="F999" s="49" t="str">
        <f>+F998</f>
        <v>N/A</v>
      </c>
    </row>
    <row r="1000" spans="1:6" ht="12.75">
      <c r="A1000" s="39">
        <f t="shared" si="39"/>
        <v>48293</v>
      </c>
      <c r="B1000" s="40">
        <v>48293</v>
      </c>
      <c r="C1000" s="65">
        <f t="shared" si="41"/>
        <v>0</v>
      </c>
      <c r="E1000" s="3" t="str">
        <f t="shared" si="40"/>
        <v>1Q2032</v>
      </c>
      <c r="F1000" s="49" t="str">
        <f>+F999</f>
        <v>N/A</v>
      </c>
    </row>
    <row r="1001" spans="1:6" ht="12.75">
      <c r="A1001" s="39">
        <f t="shared" si="39"/>
        <v>48324</v>
      </c>
      <c r="B1001" s="40">
        <v>48324</v>
      </c>
      <c r="C1001" s="65">
        <f t="shared" si="41"/>
        <v>0</v>
      </c>
      <c r="E1001" s="3" t="str">
        <f t="shared" si="40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9"/>
        <v>48354</v>
      </c>
      <c r="B1002" s="46">
        <v>48354</v>
      </c>
      <c r="C1002" s="65">
        <f t="shared" si="41"/>
        <v>0</v>
      </c>
      <c r="E1002" s="3" t="str">
        <f t="shared" si="40"/>
        <v>2Q2032</v>
      </c>
      <c r="F1002" s="49" t="str">
        <f>+F1001</f>
        <v>N/A</v>
      </c>
    </row>
    <row r="1003" spans="1:6" ht="12.75">
      <c r="A1003" s="39">
        <f t="shared" si="39"/>
        <v>48385</v>
      </c>
      <c r="B1003" s="40">
        <v>48385</v>
      </c>
      <c r="C1003" s="65">
        <f t="shared" si="41"/>
        <v>0</v>
      </c>
      <c r="E1003" s="3" t="str">
        <f t="shared" si="40"/>
        <v>2Q2032</v>
      </c>
      <c r="F1003" s="49" t="str">
        <f>+F1002</f>
        <v>N/A</v>
      </c>
    </row>
    <row r="1004" spans="1:6" ht="12.75">
      <c r="A1004" s="39">
        <f t="shared" si="39"/>
        <v>48415</v>
      </c>
      <c r="B1004" s="40">
        <v>48415</v>
      </c>
      <c r="C1004" s="65">
        <f t="shared" si="41"/>
        <v>0</v>
      </c>
      <c r="E1004" s="3" t="str">
        <f t="shared" si="40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9"/>
        <v>48446</v>
      </c>
      <c r="B1005" s="46">
        <v>48446</v>
      </c>
      <c r="C1005" s="65">
        <f t="shared" si="41"/>
        <v>0</v>
      </c>
      <c r="E1005" s="3" t="str">
        <f t="shared" si="40"/>
        <v>3Q2032</v>
      </c>
      <c r="F1005" s="49" t="str">
        <f>+F1004</f>
        <v>N/A</v>
      </c>
    </row>
    <row r="1006" spans="1:6" ht="12.75">
      <c r="A1006" s="39">
        <f t="shared" si="39"/>
        <v>48477</v>
      </c>
      <c r="B1006" s="40">
        <v>48477</v>
      </c>
      <c r="C1006" s="65">
        <f t="shared" si="41"/>
        <v>0</v>
      </c>
      <c r="E1006" s="3" t="str">
        <f t="shared" si="40"/>
        <v>3Q2032</v>
      </c>
      <c r="F1006" s="49" t="str">
        <f>+F1005</f>
        <v>N/A</v>
      </c>
    </row>
    <row r="1007" spans="1:6" ht="12.75">
      <c r="A1007" s="39">
        <f t="shared" si="39"/>
        <v>48507</v>
      </c>
      <c r="B1007" s="40">
        <v>48507</v>
      </c>
      <c r="C1007" s="65">
        <f t="shared" si="41"/>
        <v>0</v>
      </c>
      <c r="E1007" s="3" t="str">
        <f t="shared" si="40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9"/>
        <v>48538</v>
      </c>
      <c r="B1008" s="46">
        <v>48538</v>
      </c>
      <c r="C1008" s="65">
        <f t="shared" si="41"/>
        <v>0</v>
      </c>
      <c r="E1008" s="3" t="str">
        <f t="shared" si="40"/>
        <v>4Q2032</v>
      </c>
      <c r="F1008" s="49" t="str">
        <f>+F1007</f>
        <v>N/A</v>
      </c>
    </row>
    <row r="1009" spans="1:6" ht="12.75">
      <c r="A1009" s="39">
        <f t="shared" si="39"/>
        <v>48568</v>
      </c>
      <c r="B1009" s="40">
        <v>48568</v>
      </c>
      <c r="C1009" s="65">
        <f t="shared" si="41"/>
        <v>0</v>
      </c>
      <c r="E1009" s="3" t="str">
        <f t="shared" si="40"/>
        <v>4Q2032</v>
      </c>
      <c r="F1009" s="49" t="str">
        <f>+F1008</f>
        <v>N/A</v>
      </c>
    </row>
    <row r="1010" spans="1:6" ht="12.75">
      <c r="A1010" s="39">
        <f t="shared" si="39"/>
        <v>48599</v>
      </c>
      <c r="B1010" s="40">
        <v>48599</v>
      </c>
      <c r="C1010" s="65">
        <f t="shared" si="41"/>
        <v>0</v>
      </c>
      <c r="E1010" s="3" t="str">
        <f t="shared" si="40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9"/>
        <v>48630</v>
      </c>
      <c r="B1011" s="46">
        <v>48630</v>
      </c>
      <c r="C1011" s="65">
        <f t="shared" si="41"/>
        <v>0</v>
      </c>
      <c r="E1011" s="3" t="str">
        <f t="shared" si="40"/>
        <v>1Q2033</v>
      </c>
      <c r="F1011" s="49" t="str">
        <f>+F1010</f>
        <v>N/A</v>
      </c>
    </row>
    <row r="1012" spans="1:6" ht="12.75">
      <c r="A1012" s="39">
        <f t="shared" si="39"/>
        <v>48658</v>
      </c>
      <c r="B1012" s="40">
        <v>48658</v>
      </c>
      <c r="C1012" s="65">
        <f t="shared" si="41"/>
        <v>0</v>
      </c>
      <c r="E1012" s="3" t="str">
        <f t="shared" si="40"/>
        <v>1Q2033</v>
      </c>
      <c r="F1012" s="49" t="str">
        <f>+F1011</f>
        <v>N/A</v>
      </c>
    </row>
    <row r="1013" spans="1:6" ht="12.75">
      <c r="A1013" s="39">
        <f t="shared" si="39"/>
        <v>48689</v>
      </c>
      <c r="B1013" s="40">
        <v>48689</v>
      </c>
      <c r="C1013" s="65">
        <f t="shared" si="41"/>
        <v>0</v>
      </c>
      <c r="E1013" s="3" t="str">
        <f t="shared" si="40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9"/>
        <v>48719</v>
      </c>
      <c r="B1014" s="46">
        <v>48719</v>
      </c>
      <c r="C1014" s="65">
        <f t="shared" si="41"/>
        <v>0</v>
      </c>
      <c r="E1014" s="3" t="str">
        <f t="shared" si="40"/>
        <v>2Q2033</v>
      </c>
      <c r="F1014" s="49" t="str">
        <f>+F1013</f>
        <v>N/A</v>
      </c>
    </row>
    <row r="1015" spans="1:6" ht="12.75">
      <c r="A1015" s="39">
        <f t="shared" si="39"/>
        <v>48750</v>
      </c>
      <c r="B1015" s="40">
        <v>48750</v>
      </c>
      <c r="C1015" s="65">
        <f t="shared" si="41"/>
        <v>0</v>
      </c>
      <c r="E1015" s="3" t="str">
        <f t="shared" si="40"/>
        <v>2Q2033</v>
      </c>
      <c r="F1015" s="49" t="str">
        <f>+F1014</f>
        <v>N/A</v>
      </c>
    </row>
    <row r="1016" spans="1:6" ht="12.75">
      <c r="A1016" s="39">
        <f t="shared" si="39"/>
        <v>48780</v>
      </c>
      <c r="B1016" s="40">
        <v>48780</v>
      </c>
      <c r="C1016" s="65">
        <f t="shared" si="41"/>
        <v>0</v>
      </c>
      <c r="E1016" s="3" t="str">
        <f t="shared" si="40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9"/>
        <v>48811</v>
      </c>
      <c r="B1017" s="46">
        <v>48811</v>
      </c>
      <c r="C1017" s="65">
        <f t="shared" si="41"/>
        <v>0</v>
      </c>
      <c r="E1017" s="3" t="str">
        <f t="shared" si="40"/>
        <v>3Q2033</v>
      </c>
      <c r="F1017" s="49" t="str">
        <f>+F1016</f>
        <v>N/A</v>
      </c>
    </row>
    <row r="1018" spans="1:6" ht="12.75">
      <c r="A1018" s="39">
        <f t="shared" si="39"/>
        <v>48842</v>
      </c>
      <c r="B1018" s="40">
        <v>48842</v>
      </c>
      <c r="C1018" s="65">
        <f t="shared" si="41"/>
        <v>0</v>
      </c>
      <c r="E1018" s="3" t="str">
        <f t="shared" si="40"/>
        <v>3Q2033</v>
      </c>
      <c r="F1018" s="49" t="str">
        <f>+F1017</f>
        <v>N/A</v>
      </c>
    </row>
    <row r="1019" spans="1:6" ht="12.75">
      <c r="A1019" s="39">
        <f t="shared" si="39"/>
        <v>48872</v>
      </c>
      <c r="B1019" s="40">
        <v>48872</v>
      </c>
      <c r="C1019" s="65">
        <f t="shared" si="41"/>
        <v>0</v>
      </c>
      <c r="E1019" s="3" t="str">
        <f t="shared" si="40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9"/>
        <v>48903</v>
      </c>
      <c r="B1020" s="46">
        <v>48903</v>
      </c>
      <c r="C1020" s="65">
        <f t="shared" si="41"/>
        <v>0</v>
      </c>
      <c r="E1020" s="3" t="str">
        <f t="shared" si="40"/>
        <v>4Q2033</v>
      </c>
      <c r="F1020" s="49" t="str">
        <f>+F1019</f>
        <v>N/A</v>
      </c>
    </row>
    <row r="1021" spans="1:6" ht="12.75">
      <c r="A1021" s="39">
        <f t="shared" si="39"/>
        <v>48933</v>
      </c>
      <c r="B1021" s="40">
        <v>48933</v>
      </c>
      <c r="C1021" s="65">
        <f t="shared" si="41"/>
        <v>0</v>
      </c>
      <c r="E1021" s="3" t="str">
        <f t="shared" si="40"/>
        <v>4Q2033</v>
      </c>
      <c r="F1021" s="49" t="str">
        <f>+F1020</f>
        <v>N/A</v>
      </c>
    </row>
    <row r="1022" spans="1:6" ht="12.75">
      <c r="A1022" s="39">
        <f t="shared" si="39"/>
        <v>48964</v>
      </c>
      <c r="B1022" s="40">
        <v>48964</v>
      </c>
      <c r="C1022" s="65">
        <f t="shared" si="41"/>
        <v>0</v>
      </c>
      <c r="E1022" s="3" t="str">
        <f t="shared" si="40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9"/>
        <v>48995</v>
      </c>
      <c r="B1023" s="46">
        <v>48995</v>
      </c>
      <c r="C1023" s="65">
        <f t="shared" si="41"/>
        <v>0</v>
      </c>
      <c r="E1023" s="3" t="str">
        <f t="shared" si="40"/>
        <v>1Q2034</v>
      </c>
      <c r="F1023" s="49" t="str">
        <f>+F1022</f>
        <v>N/A</v>
      </c>
    </row>
    <row r="1024" spans="1:6" ht="12.75">
      <c r="A1024" s="39">
        <f t="shared" si="39"/>
        <v>49023</v>
      </c>
      <c r="B1024" s="40">
        <v>49023</v>
      </c>
      <c r="C1024" s="65">
        <f t="shared" si="41"/>
        <v>0</v>
      </c>
      <c r="E1024" s="3" t="str">
        <f t="shared" si="40"/>
        <v>1Q2034</v>
      </c>
      <c r="F1024" s="49" t="str">
        <f>+F1023</f>
        <v>N/A</v>
      </c>
    </row>
    <row r="1025" spans="1:6" ht="12.75">
      <c r="A1025" s="39">
        <f t="shared" si="39"/>
        <v>49054</v>
      </c>
      <c r="B1025" s="40">
        <v>49054</v>
      </c>
      <c r="C1025" s="65">
        <f t="shared" si="41"/>
        <v>0</v>
      </c>
      <c r="E1025" s="3" t="str">
        <f t="shared" si="40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9"/>
        <v>49084</v>
      </c>
      <c r="B1026" s="46">
        <v>49084</v>
      </c>
      <c r="C1026" s="65">
        <f t="shared" si="41"/>
        <v>0</v>
      </c>
      <c r="E1026" s="3" t="str">
        <f t="shared" si="40"/>
        <v>2Q2034</v>
      </c>
      <c r="F1026" s="49" t="str">
        <f>+F1025</f>
        <v>N/A</v>
      </c>
    </row>
    <row r="1027" spans="1:6" ht="12.75">
      <c r="A1027" s="39">
        <f t="shared" si="39"/>
        <v>49115</v>
      </c>
      <c r="B1027" s="40">
        <v>49115</v>
      </c>
      <c r="C1027" s="65">
        <f t="shared" si="41"/>
        <v>0</v>
      </c>
      <c r="E1027" s="3" t="str">
        <f t="shared" si="40"/>
        <v>2Q2034</v>
      </c>
      <c r="F1027" s="49" t="str">
        <f>+F1026</f>
        <v>N/A</v>
      </c>
    </row>
    <row r="1028" spans="1:6" ht="12.75">
      <c r="A1028" s="39">
        <f t="shared" si="39"/>
        <v>49145</v>
      </c>
      <c r="B1028" s="40">
        <v>49145</v>
      </c>
      <c r="C1028" s="65">
        <f t="shared" si="41"/>
        <v>0</v>
      </c>
      <c r="E1028" s="3" t="str">
        <f t="shared" si="40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2" ref="A1029:A1092">+B1029</f>
        <v>49176</v>
      </c>
      <c r="B1029" s="46">
        <v>49176</v>
      </c>
      <c r="C1029" s="65">
        <f t="shared" si="41"/>
        <v>0</v>
      </c>
      <c r="E1029" s="3" t="str">
        <f t="shared" si="40"/>
        <v>3Q2034</v>
      </c>
      <c r="F1029" s="49" t="str">
        <f>+F1028</f>
        <v>N/A</v>
      </c>
    </row>
    <row r="1030" spans="1:6" ht="12.75">
      <c r="A1030" s="39">
        <f t="shared" si="42"/>
        <v>49207</v>
      </c>
      <c r="B1030" s="40">
        <v>49207</v>
      </c>
      <c r="C1030" s="65">
        <f t="shared" si="41"/>
        <v>0</v>
      </c>
      <c r="E1030" s="3" t="str">
        <f t="shared" si="40"/>
        <v>3Q2034</v>
      </c>
      <c r="F1030" s="49" t="str">
        <f>+F1029</f>
        <v>N/A</v>
      </c>
    </row>
    <row r="1031" spans="1:6" ht="12.75">
      <c r="A1031" s="39">
        <f t="shared" si="42"/>
        <v>49237</v>
      </c>
      <c r="B1031" s="40">
        <v>49237</v>
      </c>
      <c r="C1031" s="65">
        <f t="shared" si="41"/>
        <v>0</v>
      </c>
      <c r="E1031" s="3" t="str">
        <f t="shared" si="40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2"/>
        <v>49268</v>
      </c>
      <c r="B1032" s="46">
        <v>49268</v>
      </c>
      <c r="C1032" s="65">
        <f t="shared" si="41"/>
        <v>0</v>
      </c>
      <c r="E1032" s="3" t="str">
        <f t="shared" si="40"/>
        <v>4Q2034</v>
      </c>
      <c r="F1032" s="49" t="str">
        <f>+F1031</f>
        <v>N/A</v>
      </c>
    </row>
    <row r="1033" spans="1:6" ht="12.75">
      <c r="A1033" s="39">
        <f t="shared" si="42"/>
        <v>49298</v>
      </c>
      <c r="B1033" s="40">
        <v>49298</v>
      </c>
      <c r="C1033" s="65">
        <f t="shared" si="41"/>
        <v>0</v>
      </c>
      <c r="E1033" s="3" t="str">
        <f t="shared" si="40"/>
        <v>4Q2034</v>
      </c>
      <c r="F1033" s="49" t="str">
        <f>+F1032</f>
        <v>N/A</v>
      </c>
    </row>
    <row r="1034" spans="1:6" ht="12.75">
      <c r="A1034" s="39">
        <f t="shared" si="42"/>
        <v>49329</v>
      </c>
      <c r="B1034" s="40">
        <v>49329</v>
      </c>
      <c r="C1034" s="65">
        <f t="shared" si="41"/>
        <v>0</v>
      </c>
      <c r="E1034" s="3" t="str">
        <f t="shared" si="40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2"/>
        <v>49360</v>
      </c>
      <c r="B1035" s="46">
        <v>49360</v>
      </c>
      <c r="C1035" s="65">
        <f t="shared" si="41"/>
        <v>0</v>
      </c>
      <c r="E1035" s="3" t="str">
        <f aca="true" t="shared" si="43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2"/>
        <v>49388</v>
      </c>
      <c r="B1036" s="40">
        <v>49388</v>
      </c>
      <c r="C1036" s="65">
        <f t="shared" si="41"/>
        <v>0</v>
      </c>
      <c r="E1036" s="3" t="str">
        <f t="shared" si="43"/>
        <v>1Q2035</v>
      </c>
      <c r="F1036" s="49" t="str">
        <f>+F1035</f>
        <v>N/A</v>
      </c>
    </row>
    <row r="1037" spans="1:6" ht="12.75">
      <c r="A1037" s="39">
        <f t="shared" si="42"/>
        <v>49419</v>
      </c>
      <c r="B1037" s="40">
        <v>49419</v>
      </c>
      <c r="C1037" s="65">
        <f t="shared" si="41"/>
        <v>0</v>
      </c>
      <c r="E1037" s="3" t="str">
        <f t="shared" si="43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2"/>
        <v>49449</v>
      </c>
      <c r="B1038" s="46">
        <v>49449</v>
      </c>
      <c r="C1038" s="65">
        <f t="shared" si="41"/>
        <v>0</v>
      </c>
      <c r="E1038" s="3" t="str">
        <f t="shared" si="43"/>
        <v>2Q2035</v>
      </c>
      <c r="F1038" s="49" t="str">
        <f>+F1037</f>
        <v>N/A</v>
      </c>
    </row>
    <row r="1039" spans="1:6" ht="12.75">
      <c r="A1039" s="39">
        <f t="shared" si="42"/>
        <v>49480</v>
      </c>
      <c r="B1039" s="40">
        <v>49480</v>
      </c>
      <c r="C1039" s="65">
        <f t="shared" si="41"/>
        <v>0</v>
      </c>
      <c r="E1039" s="3" t="str">
        <f t="shared" si="43"/>
        <v>2Q2035</v>
      </c>
      <c r="F1039" s="49" t="str">
        <f>+F1038</f>
        <v>N/A</v>
      </c>
    </row>
    <row r="1040" spans="1:6" ht="12.75">
      <c r="A1040" s="39">
        <f t="shared" si="42"/>
        <v>49510</v>
      </c>
      <c r="B1040" s="40">
        <v>49510</v>
      </c>
      <c r="C1040" s="65">
        <f aca="true" t="shared" si="44" ref="C1040:C1103">+L1040%</f>
        <v>0</v>
      </c>
      <c r="E1040" s="3" t="str">
        <f t="shared" si="43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2"/>
        <v>49541</v>
      </c>
      <c r="B1041" s="46">
        <v>49541</v>
      </c>
      <c r="C1041" s="65">
        <f t="shared" si="44"/>
        <v>0</v>
      </c>
      <c r="E1041" s="3" t="str">
        <f t="shared" si="43"/>
        <v>3Q2035</v>
      </c>
      <c r="F1041" s="49" t="str">
        <f>+F1040</f>
        <v>N/A</v>
      </c>
    </row>
    <row r="1042" spans="1:6" ht="12.75">
      <c r="A1042" s="39">
        <f t="shared" si="42"/>
        <v>49572</v>
      </c>
      <c r="B1042" s="40">
        <v>49572</v>
      </c>
      <c r="C1042" s="65">
        <f t="shared" si="44"/>
        <v>0</v>
      </c>
      <c r="E1042" s="3" t="str">
        <f t="shared" si="43"/>
        <v>3Q2035</v>
      </c>
      <c r="F1042" s="49" t="str">
        <f>+F1041</f>
        <v>N/A</v>
      </c>
    </row>
    <row r="1043" spans="1:6" ht="12.75">
      <c r="A1043" s="39">
        <f t="shared" si="42"/>
        <v>49602</v>
      </c>
      <c r="B1043" s="40">
        <v>49602</v>
      </c>
      <c r="C1043" s="65">
        <f t="shared" si="44"/>
        <v>0</v>
      </c>
      <c r="E1043" s="3" t="str">
        <f t="shared" si="43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2"/>
        <v>49633</v>
      </c>
      <c r="B1044" s="46">
        <v>49633</v>
      </c>
      <c r="C1044" s="65">
        <f t="shared" si="44"/>
        <v>0</v>
      </c>
      <c r="E1044" s="3" t="str">
        <f t="shared" si="43"/>
        <v>4Q2035</v>
      </c>
      <c r="F1044" s="49" t="str">
        <f>+F1043</f>
        <v>N/A</v>
      </c>
    </row>
    <row r="1045" spans="1:6" ht="12.75">
      <c r="A1045" s="39">
        <f t="shared" si="42"/>
        <v>49663</v>
      </c>
      <c r="B1045" s="40">
        <v>49663</v>
      </c>
      <c r="C1045" s="65">
        <f t="shared" si="44"/>
        <v>0</v>
      </c>
      <c r="E1045" s="3" t="str">
        <f t="shared" si="43"/>
        <v>4Q2035</v>
      </c>
      <c r="F1045" s="49" t="str">
        <f>+F1044</f>
        <v>N/A</v>
      </c>
    </row>
    <row r="1046" spans="1:6" ht="12.75">
      <c r="A1046" s="39">
        <f t="shared" si="42"/>
        <v>49694</v>
      </c>
      <c r="B1046" s="40">
        <v>49694</v>
      </c>
      <c r="C1046" s="65">
        <f t="shared" si="44"/>
        <v>0</v>
      </c>
      <c r="E1046" s="3" t="str">
        <f t="shared" si="43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2"/>
        <v>49725</v>
      </c>
      <c r="B1047" s="46">
        <v>49725</v>
      </c>
      <c r="C1047" s="65">
        <f t="shared" si="44"/>
        <v>0</v>
      </c>
      <c r="E1047" s="3" t="str">
        <f t="shared" si="43"/>
        <v>1Q2036</v>
      </c>
      <c r="F1047" s="49" t="str">
        <f>+F1046</f>
        <v>N/A</v>
      </c>
    </row>
    <row r="1048" spans="1:6" ht="12.75">
      <c r="A1048" s="39">
        <f t="shared" si="42"/>
        <v>49754</v>
      </c>
      <c r="B1048" s="40">
        <v>49754</v>
      </c>
      <c r="C1048" s="65">
        <f t="shared" si="44"/>
        <v>0</v>
      </c>
      <c r="E1048" s="3" t="str">
        <f t="shared" si="43"/>
        <v>1Q2036</v>
      </c>
      <c r="F1048" s="49" t="str">
        <f>+F1047</f>
        <v>N/A</v>
      </c>
    </row>
    <row r="1049" spans="1:6" ht="12.75">
      <c r="A1049" s="39">
        <f t="shared" si="42"/>
        <v>49785</v>
      </c>
      <c r="B1049" s="40">
        <v>49785</v>
      </c>
      <c r="C1049" s="65">
        <f t="shared" si="44"/>
        <v>0</v>
      </c>
      <c r="E1049" s="3" t="str">
        <f t="shared" si="43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2"/>
        <v>49815</v>
      </c>
      <c r="B1050" s="46">
        <v>49815</v>
      </c>
      <c r="C1050" s="65">
        <f t="shared" si="44"/>
        <v>0</v>
      </c>
      <c r="E1050" s="3" t="str">
        <f t="shared" si="43"/>
        <v>2Q2036</v>
      </c>
      <c r="F1050" s="49" t="str">
        <f>+F1049</f>
        <v>N/A</v>
      </c>
    </row>
    <row r="1051" spans="1:6" ht="12.75">
      <c r="A1051" s="39">
        <f t="shared" si="42"/>
        <v>49846</v>
      </c>
      <c r="B1051" s="40">
        <v>49846</v>
      </c>
      <c r="C1051" s="65">
        <f t="shared" si="44"/>
        <v>0</v>
      </c>
      <c r="E1051" s="3" t="str">
        <f t="shared" si="43"/>
        <v>2Q2036</v>
      </c>
      <c r="F1051" s="49" t="str">
        <f>+F1050</f>
        <v>N/A</v>
      </c>
    </row>
    <row r="1052" spans="1:6" ht="12.75">
      <c r="A1052" s="39">
        <f t="shared" si="42"/>
        <v>49876</v>
      </c>
      <c r="B1052" s="40">
        <v>49876</v>
      </c>
      <c r="C1052" s="65">
        <f t="shared" si="44"/>
        <v>0</v>
      </c>
      <c r="E1052" s="3" t="str">
        <f t="shared" si="43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2"/>
        <v>49907</v>
      </c>
      <c r="B1053" s="46">
        <v>49907</v>
      </c>
      <c r="C1053" s="65">
        <f t="shared" si="44"/>
        <v>0</v>
      </c>
      <c r="E1053" s="3" t="str">
        <f t="shared" si="43"/>
        <v>3Q2036</v>
      </c>
      <c r="F1053" s="49" t="str">
        <f>+F1052</f>
        <v>N/A</v>
      </c>
    </row>
    <row r="1054" spans="1:6" ht="12.75">
      <c r="A1054" s="39">
        <f t="shared" si="42"/>
        <v>49938</v>
      </c>
      <c r="B1054" s="40">
        <v>49938</v>
      </c>
      <c r="C1054" s="65">
        <f t="shared" si="44"/>
        <v>0</v>
      </c>
      <c r="E1054" s="3" t="str">
        <f t="shared" si="43"/>
        <v>3Q2036</v>
      </c>
      <c r="F1054" s="49" t="str">
        <f>+F1053</f>
        <v>N/A</v>
      </c>
    </row>
    <row r="1055" spans="1:6" ht="12.75">
      <c r="A1055" s="39">
        <f t="shared" si="42"/>
        <v>49968</v>
      </c>
      <c r="B1055" s="40">
        <v>49968</v>
      </c>
      <c r="C1055" s="65">
        <f t="shared" si="44"/>
        <v>0</v>
      </c>
      <c r="E1055" s="3" t="str">
        <f t="shared" si="43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2"/>
        <v>49999</v>
      </c>
      <c r="B1056" s="46">
        <v>49999</v>
      </c>
      <c r="C1056" s="65">
        <f t="shared" si="44"/>
        <v>0</v>
      </c>
      <c r="E1056" s="3" t="str">
        <f t="shared" si="43"/>
        <v>4Q2036</v>
      </c>
      <c r="F1056" s="49" t="str">
        <f>+F1055</f>
        <v>N/A</v>
      </c>
    </row>
    <row r="1057" spans="1:6" ht="12.75">
      <c r="A1057" s="39">
        <f t="shared" si="42"/>
        <v>50029</v>
      </c>
      <c r="B1057" s="40">
        <v>50029</v>
      </c>
      <c r="C1057" s="65">
        <f t="shared" si="44"/>
        <v>0</v>
      </c>
      <c r="E1057" s="3" t="str">
        <f t="shared" si="43"/>
        <v>4Q2036</v>
      </c>
      <c r="F1057" s="49" t="str">
        <f>+F1056</f>
        <v>N/A</v>
      </c>
    </row>
    <row r="1058" spans="1:6" ht="12.75">
      <c r="A1058" s="39">
        <f t="shared" si="42"/>
        <v>50060</v>
      </c>
      <c r="B1058" s="40">
        <v>50060</v>
      </c>
      <c r="C1058" s="65">
        <f t="shared" si="44"/>
        <v>0</v>
      </c>
      <c r="E1058" s="3" t="str">
        <f t="shared" si="43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2"/>
        <v>50091</v>
      </c>
      <c r="B1059" s="46">
        <v>50091</v>
      </c>
      <c r="C1059" s="65">
        <f t="shared" si="44"/>
        <v>0</v>
      </c>
      <c r="E1059" s="3" t="str">
        <f t="shared" si="43"/>
        <v>1Q2037</v>
      </c>
      <c r="F1059" s="49" t="str">
        <f>+F1058</f>
        <v>N/A</v>
      </c>
    </row>
    <row r="1060" spans="1:6" ht="12.75">
      <c r="A1060" s="39">
        <f t="shared" si="42"/>
        <v>50119</v>
      </c>
      <c r="B1060" s="40">
        <v>50119</v>
      </c>
      <c r="C1060" s="65">
        <f t="shared" si="44"/>
        <v>0</v>
      </c>
      <c r="E1060" s="3" t="str">
        <f t="shared" si="43"/>
        <v>1Q2037</v>
      </c>
      <c r="F1060" s="49" t="str">
        <f>+F1059</f>
        <v>N/A</v>
      </c>
    </row>
    <row r="1061" spans="1:6" ht="12.75">
      <c r="A1061" s="39">
        <f t="shared" si="42"/>
        <v>50150</v>
      </c>
      <c r="B1061" s="40">
        <v>50150</v>
      </c>
      <c r="C1061" s="65">
        <f t="shared" si="44"/>
        <v>0</v>
      </c>
      <c r="E1061" s="3" t="str">
        <f t="shared" si="43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2"/>
        <v>50180</v>
      </c>
      <c r="B1062" s="46">
        <v>50180</v>
      </c>
      <c r="C1062" s="65">
        <f t="shared" si="44"/>
        <v>0</v>
      </c>
      <c r="E1062" s="3" t="str">
        <f t="shared" si="43"/>
        <v>2Q2037</v>
      </c>
      <c r="F1062" s="49" t="str">
        <f>+F1061</f>
        <v>N/A</v>
      </c>
    </row>
    <row r="1063" spans="1:6" ht="12.75">
      <c r="A1063" s="39">
        <f t="shared" si="42"/>
        <v>50211</v>
      </c>
      <c r="B1063" s="40">
        <v>50211</v>
      </c>
      <c r="C1063" s="65">
        <f t="shared" si="44"/>
        <v>0</v>
      </c>
      <c r="E1063" s="3" t="str">
        <f t="shared" si="43"/>
        <v>2Q2037</v>
      </c>
      <c r="F1063" s="49" t="str">
        <f>+F1062</f>
        <v>N/A</v>
      </c>
    </row>
    <row r="1064" spans="1:6" ht="12.75">
      <c r="A1064" s="39">
        <f t="shared" si="42"/>
        <v>50241</v>
      </c>
      <c r="B1064" s="40">
        <v>50241</v>
      </c>
      <c r="C1064" s="65">
        <f t="shared" si="44"/>
        <v>0</v>
      </c>
      <c r="E1064" s="3" t="str">
        <f t="shared" si="43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2"/>
        <v>50272</v>
      </c>
      <c r="B1065" s="46">
        <v>50272</v>
      </c>
      <c r="C1065" s="65">
        <f t="shared" si="44"/>
        <v>0</v>
      </c>
      <c r="E1065" s="3" t="str">
        <f t="shared" si="43"/>
        <v>3Q2037</v>
      </c>
      <c r="F1065" s="49" t="str">
        <f>+F1064</f>
        <v>N/A</v>
      </c>
    </row>
    <row r="1066" spans="1:6" ht="12.75">
      <c r="A1066" s="39">
        <f t="shared" si="42"/>
        <v>50303</v>
      </c>
      <c r="B1066" s="40">
        <v>50303</v>
      </c>
      <c r="C1066" s="65">
        <f t="shared" si="44"/>
        <v>0</v>
      </c>
      <c r="E1066" s="3" t="str">
        <f t="shared" si="43"/>
        <v>3Q2037</v>
      </c>
      <c r="F1066" s="49" t="str">
        <f>+F1065</f>
        <v>N/A</v>
      </c>
    </row>
    <row r="1067" spans="1:6" ht="12.75">
      <c r="A1067" s="39">
        <f t="shared" si="42"/>
        <v>50333</v>
      </c>
      <c r="B1067" s="40">
        <v>50333</v>
      </c>
      <c r="C1067" s="65">
        <f t="shared" si="44"/>
        <v>0</v>
      </c>
      <c r="E1067" s="3" t="str">
        <f t="shared" si="43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2"/>
        <v>50364</v>
      </c>
      <c r="B1068" s="46">
        <v>50364</v>
      </c>
      <c r="C1068" s="65">
        <f t="shared" si="44"/>
        <v>0</v>
      </c>
      <c r="E1068" s="3" t="str">
        <f t="shared" si="43"/>
        <v>4Q2037</v>
      </c>
      <c r="F1068" s="49" t="str">
        <f>+F1067</f>
        <v>N/A</v>
      </c>
    </row>
    <row r="1069" spans="1:6" ht="12.75">
      <c r="A1069" s="39">
        <f t="shared" si="42"/>
        <v>50394</v>
      </c>
      <c r="B1069" s="40">
        <v>50394</v>
      </c>
      <c r="C1069" s="65">
        <f t="shared" si="44"/>
        <v>0</v>
      </c>
      <c r="E1069" s="3" t="str">
        <f t="shared" si="43"/>
        <v>4Q2037</v>
      </c>
      <c r="F1069" s="49" t="str">
        <f>+F1068</f>
        <v>N/A</v>
      </c>
    </row>
    <row r="1070" spans="1:6" ht="12.75">
      <c r="A1070" s="39">
        <f t="shared" si="42"/>
        <v>50425</v>
      </c>
      <c r="B1070" s="40">
        <v>50425</v>
      </c>
      <c r="C1070" s="65">
        <f t="shared" si="44"/>
        <v>0</v>
      </c>
      <c r="E1070" s="3" t="str">
        <f t="shared" si="43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2"/>
        <v>50456</v>
      </c>
      <c r="B1071" s="46">
        <v>50456</v>
      </c>
      <c r="C1071" s="65">
        <f t="shared" si="44"/>
        <v>0</v>
      </c>
      <c r="E1071" s="3" t="str">
        <f t="shared" si="43"/>
        <v>1Q2038</v>
      </c>
      <c r="F1071" s="49" t="str">
        <f>+F1070</f>
        <v>N/A</v>
      </c>
    </row>
    <row r="1072" spans="1:6" ht="12.75">
      <c r="A1072" s="39">
        <f t="shared" si="42"/>
        <v>50484</v>
      </c>
      <c r="B1072" s="40">
        <v>50484</v>
      </c>
      <c r="C1072" s="65">
        <f t="shared" si="44"/>
        <v>0</v>
      </c>
      <c r="E1072" s="3" t="str">
        <f t="shared" si="43"/>
        <v>1Q2038</v>
      </c>
      <c r="F1072" s="49" t="str">
        <f>+F1071</f>
        <v>N/A</v>
      </c>
    </row>
    <row r="1073" spans="1:6" ht="12.75">
      <c r="A1073" s="39">
        <f t="shared" si="42"/>
        <v>50515</v>
      </c>
      <c r="B1073" s="40">
        <v>50515</v>
      </c>
      <c r="C1073" s="65">
        <f t="shared" si="44"/>
        <v>0</v>
      </c>
      <c r="E1073" s="3" t="str">
        <f t="shared" si="43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2"/>
        <v>50545</v>
      </c>
      <c r="B1074" s="46">
        <v>50545</v>
      </c>
      <c r="C1074" s="65">
        <f t="shared" si="44"/>
        <v>0</v>
      </c>
      <c r="E1074" s="3" t="str">
        <f t="shared" si="43"/>
        <v>2Q2038</v>
      </c>
      <c r="F1074" s="49" t="str">
        <f>+F1073</f>
        <v>N/A</v>
      </c>
    </row>
    <row r="1075" spans="1:6" ht="12.75">
      <c r="A1075" s="39">
        <f t="shared" si="42"/>
        <v>50576</v>
      </c>
      <c r="B1075" s="40">
        <v>50576</v>
      </c>
      <c r="C1075" s="65">
        <f t="shared" si="44"/>
        <v>0</v>
      </c>
      <c r="E1075" s="3" t="str">
        <f t="shared" si="43"/>
        <v>2Q2038</v>
      </c>
      <c r="F1075" s="49" t="str">
        <f>+F1074</f>
        <v>N/A</v>
      </c>
    </row>
    <row r="1076" spans="1:6" ht="12.75">
      <c r="A1076" s="39">
        <f t="shared" si="42"/>
        <v>50606</v>
      </c>
      <c r="B1076" s="40">
        <v>50606</v>
      </c>
      <c r="C1076" s="65">
        <f t="shared" si="44"/>
        <v>0</v>
      </c>
      <c r="E1076" s="3" t="str">
        <f t="shared" si="43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2"/>
        <v>50637</v>
      </c>
      <c r="B1077" s="46">
        <v>50637</v>
      </c>
      <c r="C1077" s="65">
        <f t="shared" si="44"/>
        <v>0</v>
      </c>
      <c r="E1077" s="3" t="str">
        <f t="shared" si="43"/>
        <v>3Q2038</v>
      </c>
      <c r="F1077" s="49" t="str">
        <f>+F1076</f>
        <v>N/A</v>
      </c>
    </row>
    <row r="1078" spans="1:6" ht="12.75">
      <c r="A1078" s="39">
        <f t="shared" si="42"/>
        <v>50668</v>
      </c>
      <c r="B1078" s="40">
        <v>50668</v>
      </c>
      <c r="C1078" s="65">
        <f t="shared" si="44"/>
        <v>0</v>
      </c>
      <c r="E1078" s="3" t="str">
        <f t="shared" si="43"/>
        <v>3Q2038</v>
      </c>
      <c r="F1078" s="49" t="str">
        <f>+F1077</f>
        <v>N/A</v>
      </c>
    </row>
    <row r="1079" spans="1:6" ht="12.75">
      <c r="A1079" s="39">
        <f t="shared" si="42"/>
        <v>50698</v>
      </c>
      <c r="B1079" s="40">
        <v>50698</v>
      </c>
      <c r="C1079" s="65">
        <f t="shared" si="44"/>
        <v>0</v>
      </c>
      <c r="E1079" s="3" t="str">
        <f t="shared" si="43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2"/>
        <v>50729</v>
      </c>
      <c r="B1080" s="46">
        <v>50729</v>
      </c>
      <c r="C1080" s="65">
        <f t="shared" si="44"/>
        <v>0</v>
      </c>
      <c r="E1080" s="3" t="str">
        <f t="shared" si="43"/>
        <v>4Q2038</v>
      </c>
      <c r="F1080" s="49" t="str">
        <f>+F1079</f>
        <v>N/A</v>
      </c>
    </row>
    <row r="1081" spans="1:6" ht="12.75">
      <c r="A1081" s="39">
        <f t="shared" si="42"/>
        <v>50759</v>
      </c>
      <c r="B1081" s="40">
        <v>50759</v>
      </c>
      <c r="C1081" s="65">
        <f t="shared" si="44"/>
        <v>0</v>
      </c>
      <c r="E1081" s="3" t="str">
        <f t="shared" si="43"/>
        <v>4Q2038</v>
      </c>
      <c r="F1081" s="49" t="str">
        <f>+F1080</f>
        <v>N/A</v>
      </c>
    </row>
    <row r="1082" spans="1:6" ht="12.75">
      <c r="A1082" s="39">
        <f t="shared" si="42"/>
        <v>50790</v>
      </c>
      <c r="B1082" s="40">
        <v>50790</v>
      </c>
      <c r="C1082" s="65">
        <f t="shared" si="44"/>
        <v>0</v>
      </c>
      <c r="E1082" s="3" t="str">
        <f t="shared" si="43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2"/>
        <v>50821</v>
      </c>
      <c r="B1083" s="46">
        <v>50821</v>
      </c>
      <c r="C1083" s="65">
        <f t="shared" si="44"/>
        <v>0</v>
      </c>
      <c r="E1083" s="3" t="str">
        <f t="shared" si="43"/>
        <v>1Q2039</v>
      </c>
      <c r="F1083" s="49" t="str">
        <f>+F1082</f>
        <v>N/A</v>
      </c>
    </row>
    <row r="1084" spans="1:6" ht="12.75">
      <c r="A1084" s="39">
        <f t="shared" si="42"/>
        <v>50849</v>
      </c>
      <c r="B1084" s="40">
        <v>50849</v>
      </c>
      <c r="C1084" s="65">
        <f t="shared" si="44"/>
        <v>0</v>
      </c>
      <c r="E1084" s="3" t="str">
        <f t="shared" si="43"/>
        <v>1Q2039</v>
      </c>
      <c r="F1084" s="49" t="str">
        <f>+F1083</f>
        <v>N/A</v>
      </c>
    </row>
    <row r="1085" spans="1:6" ht="12.75">
      <c r="A1085" s="39">
        <f t="shared" si="42"/>
        <v>50880</v>
      </c>
      <c r="B1085" s="40">
        <v>50880</v>
      </c>
      <c r="C1085" s="65">
        <f t="shared" si="44"/>
        <v>0</v>
      </c>
      <c r="E1085" s="3" t="str">
        <f t="shared" si="43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2"/>
        <v>50910</v>
      </c>
      <c r="B1086" s="46">
        <v>50910</v>
      </c>
      <c r="C1086" s="65">
        <f t="shared" si="44"/>
        <v>0</v>
      </c>
      <c r="E1086" s="3" t="str">
        <f t="shared" si="43"/>
        <v>2Q2039</v>
      </c>
      <c r="F1086" s="49" t="str">
        <f>+F1085</f>
        <v>N/A</v>
      </c>
    </row>
    <row r="1087" spans="1:6" ht="12.75">
      <c r="A1087" s="39">
        <f t="shared" si="42"/>
        <v>50941</v>
      </c>
      <c r="B1087" s="40">
        <v>50941</v>
      </c>
      <c r="C1087" s="65">
        <f t="shared" si="44"/>
        <v>0</v>
      </c>
      <c r="E1087" s="3" t="str">
        <f t="shared" si="43"/>
        <v>2Q2039</v>
      </c>
      <c r="F1087" s="49" t="str">
        <f>+F1086</f>
        <v>N/A</v>
      </c>
    </row>
    <row r="1088" spans="1:6" ht="12.75">
      <c r="A1088" s="39">
        <f t="shared" si="42"/>
        <v>50971</v>
      </c>
      <c r="B1088" s="40">
        <v>50971</v>
      </c>
      <c r="C1088" s="65">
        <f t="shared" si="44"/>
        <v>0</v>
      </c>
      <c r="E1088" s="3" t="str">
        <f t="shared" si="43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2"/>
        <v>51002</v>
      </c>
      <c r="B1089" s="46">
        <v>51002</v>
      </c>
      <c r="C1089" s="65">
        <f t="shared" si="44"/>
        <v>0</v>
      </c>
      <c r="E1089" s="3" t="str">
        <f t="shared" si="43"/>
        <v>3Q2039</v>
      </c>
      <c r="F1089" s="49" t="str">
        <f>+F1088</f>
        <v>N/A</v>
      </c>
    </row>
    <row r="1090" spans="1:6" ht="12.75">
      <c r="A1090" s="39">
        <f t="shared" si="42"/>
        <v>51033</v>
      </c>
      <c r="B1090" s="40">
        <v>51033</v>
      </c>
      <c r="C1090" s="65">
        <f t="shared" si="44"/>
        <v>0</v>
      </c>
      <c r="E1090" s="3" t="str">
        <f t="shared" si="43"/>
        <v>3Q2039</v>
      </c>
      <c r="F1090" s="49" t="str">
        <f>+F1089</f>
        <v>N/A</v>
      </c>
    </row>
    <row r="1091" spans="1:6" ht="12.75">
      <c r="A1091" s="39">
        <f t="shared" si="42"/>
        <v>51063</v>
      </c>
      <c r="B1091" s="40">
        <v>51063</v>
      </c>
      <c r="C1091" s="65">
        <f t="shared" si="44"/>
        <v>0</v>
      </c>
      <c r="E1091" s="3" t="str">
        <f t="shared" si="43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2"/>
        <v>51094</v>
      </c>
      <c r="B1092" s="46">
        <v>51094</v>
      </c>
      <c r="C1092" s="65">
        <f t="shared" si="44"/>
        <v>0</v>
      </c>
      <c r="E1092" s="3" t="str">
        <f t="shared" si="43"/>
        <v>4Q2039</v>
      </c>
      <c r="F1092" s="49" t="str">
        <f>+F1091</f>
        <v>N/A</v>
      </c>
    </row>
    <row r="1093" spans="1:6" ht="12.75">
      <c r="A1093" s="39">
        <f aca="true" t="shared" si="45" ref="A1093:A1156">+B1093</f>
        <v>51124</v>
      </c>
      <c r="B1093" s="40">
        <v>51124</v>
      </c>
      <c r="C1093" s="65">
        <f t="shared" si="44"/>
        <v>0</v>
      </c>
      <c r="E1093" s="3" t="str">
        <f t="shared" si="43"/>
        <v>4Q2039</v>
      </c>
      <c r="F1093" s="49" t="str">
        <f>+F1092</f>
        <v>N/A</v>
      </c>
    </row>
    <row r="1094" spans="1:6" ht="12.75">
      <c r="A1094" s="39">
        <f t="shared" si="45"/>
        <v>51155</v>
      </c>
      <c r="B1094" s="40">
        <v>51155</v>
      </c>
      <c r="C1094" s="65">
        <f t="shared" si="44"/>
        <v>0</v>
      </c>
      <c r="E1094" s="3" t="str">
        <f t="shared" si="43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5"/>
        <v>51186</v>
      </c>
      <c r="B1095" s="46">
        <v>51186</v>
      </c>
      <c r="C1095" s="65">
        <f t="shared" si="44"/>
        <v>0</v>
      </c>
      <c r="E1095" s="3" t="str">
        <f t="shared" si="43"/>
        <v>1Q2040</v>
      </c>
      <c r="F1095" s="49" t="str">
        <f>+F1094</f>
        <v>N/A</v>
      </c>
    </row>
    <row r="1096" spans="1:6" ht="12.75">
      <c r="A1096" s="39">
        <f t="shared" si="45"/>
        <v>51215</v>
      </c>
      <c r="B1096" s="40">
        <v>51215</v>
      </c>
      <c r="C1096" s="65">
        <f t="shared" si="44"/>
        <v>0</v>
      </c>
      <c r="E1096" s="3" t="str">
        <f t="shared" si="43"/>
        <v>1Q2040</v>
      </c>
      <c r="F1096" s="49" t="str">
        <f>+F1095</f>
        <v>N/A</v>
      </c>
    </row>
    <row r="1097" spans="1:6" ht="12.75">
      <c r="A1097" s="39">
        <f t="shared" si="45"/>
        <v>51246</v>
      </c>
      <c r="B1097" s="40">
        <v>51246</v>
      </c>
      <c r="C1097" s="65">
        <f t="shared" si="44"/>
        <v>0</v>
      </c>
      <c r="E1097" s="3" t="str">
        <f t="shared" si="43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5"/>
        <v>51276</v>
      </c>
      <c r="B1098" s="46">
        <v>51276</v>
      </c>
      <c r="C1098" s="65">
        <f t="shared" si="44"/>
        <v>0</v>
      </c>
      <c r="E1098" s="3" t="str">
        <f t="shared" si="43"/>
        <v>2Q2040</v>
      </c>
      <c r="F1098" s="49" t="str">
        <f>+F1097</f>
        <v>N/A</v>
      </c>
    </row>
    <row r="1099" spans="1:6" ht="12.75">
      <c r="A1099" s="39">
        <f t="shared" si="45"/>
        <v>51307</v>
      </c>
      <c r="B1099" s="40">
        <v>51307</v>
      </c>
      <c r="C1099" s="65">
        <f t="shared" si="44"/>
        <v>0</v>
      </c>
      <c r="E1099" s="3" t="str">
        <f aca="true" t="shared" si="46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5"/>
        <v>51337</v>
      </c>
      <c r="B1100" s="40">
        <v>51337</v>
      </c>
      <c r="C1100" s="65">
        <f t="shared" si="44"/>
        <v>0</v>
      </c>
      <c r="E1100" s="3" t="str">
        <f t="shared" si="46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5"/>
        <v>51368</v>
      </c>
      <c r="B1101" s="46">
        <v>51368</v>
      </c>
      <c r="C1101" s="65">
        <f t="shared" si="44"/>
        <v>0</v>
      </c>
      <c r="E1101" s="3" t="str">
        <f t="shared" si="46"/>
        <v>3Q2040</v>
      </c>
      <c r="F1101" s="49" t="str">
        <f>+F1100</f>
        <v>N/A</v>
      </c>
    </row>
    <row r="1102" spans="1:6" ht="12.75">
      <c r="A1102" s="39">
        <f t="shared" si="45"/>
        <v>51399</v>
      </c>
      <c r="B1102" s="40">
        <v>51399</v>
      </c>
      <c r="C1102" s="65">
        <f t="shared" si="44"/>
        <v>0</v>
      </c>
      <c r="E1102" s="3" t="str">
        <f t="shared" si="46"/>
        <v>3Q2040</v>
      </c>
      <c r="F1102" s="49" t="str">
        <f>+F1101</f>
        <v>N/A</v>
      </c>
    </row>
    <row r="1103" spans="1:6" ht="12.75">
      <c r="A1103" s="39">
        <f t="shared" si="45"/>
        <v>51429</v>
      </c>
      <c r="B1103" s="40">
        <v>51429</v>
      </c>
      <c r="C1103" s="65">
        <f t="shared" si="44"/>
        <v>0</v>
      </c>
      <c r="E1103" s="3" t="str">
        <f t="shared" si="46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5"/>
        <v>51460</v>
      </c>
      <c r="B1104" s="46">
        <v>51460</v>
      </c>
      <c r="C1104" s="65">
        <f aca="true" t="shared" si="47" ref="C1104:C1165">+L1104%</f>
        <v>0</v>
      </c>
      <c r="E1104" s="3" t="str">
        <f t="shared" si="46"/>
        <v>4Q2040</v>
      </c>
      <c r="F1104" s="49" t="str">
        <f>+F1103</f>
        <v>N/A</v>
      </c>
    </row>
    <row r="1105" spans="1:6" ht="12.75">
      <c r="A1105" s="39">
        <f t="shared" si="45"/>
        <v>51490</v>
      </c>
      <c r="B1105" s="40">
        <v>51490</v>
      </c>
      <c r="C1105" s="65">
        <f t="shared" si="47"/>
        <v>0</v>
      </c>
      <c r="E1105" s="3" t="str">
        <f t="shared" si="46"/>
        <v>4Q2040</v>
      </c>
      <c r="F1105" s="49" t="str">
        <f>+F1104</f>
        <v>N/A</v>
      </c>
    </row>
    <row r="1106" spans="1:6" ht="12.75">
      <c r="A1106" s="39">
        <f t="shared" si="45"/>
        <v>51521</v>
      </c>
      <c r="B1106" s="40">
        <v>51521</v>
      </c>
      <c r="C1106" s="65">
        <f t="shared" si="47"/>
        <v>0</v>
      </c>
      <c r="E1106" s="3" t="str">
        <f t="shared" si="46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5"/>
        <v>51552</v>
      </c>
      <c r="B1107" s="46">
        <v>51552</v>
      </c>
      <c r="C1107" s="65">
        <f t="shared" si="47"/>
        <v>0</v>
      </c>
      <c r="E1107" s="3" t="str">
        <f t="shared" si="46"/>
        <v>1Q2041</v>
      </c>
      <c r="F1107" s="49" t="str">
        <f>+F1106</f>
        <v>N/A</v>
      </c>
    </row>
    <row r="1108" spans="1:6" ht="12.75">
      <c r="A1108" s="39">
        <f t="shared" si="45"/>
        <v>51580</v>
      </c>
      <c r="B1108" s="40">
        <v>51580</v>
      </c>
      <c r="C1108" s="65">
        <f t="shared" si="47"/>
        <v>0</v>
      </c>
      <c r="E1108" s="3" t="str">
        <f t="shared" si="46"/>
        <v>1Q2041</v>
      </c>
      <c r="F1108" s="49" t="str">
        <f>+F1107</f>
        <v>N/A</v>
      </c>
    </row>
    <row r="1109" spans="1:6" ht="12.75">
      <c r="A1109" s="39">
        <f t="shared" si="45"/>
        <v>51611</v>
      </c>
      <c r="B1109" s="40">
        <v>51611</v>
      </c>
      <c r="C1109" s="65">
        <f t="shared" si="47"/>
        <v>0</v>
      </c>
      <c r="E1109" s="3" t="str">
        <f t="shared" si="46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5"/>
        <v>51641</v>
      </c>
      <c r="B1110" s="46">
        <v>51641</v>
      </c>
      <c r="C1110" s="65">
        <f t="shared" si="47"/>
        <v>0</v>
      </c>
      <c r="E1110" s="3" t="str">
        <f t="shared" si="46"/>
        <v>2Q2041</v>
      </c>
      <c r="F1110" s="49" t="str">
        <f>+F1109</f>
        <v>N/A</v>
      </c>
    </row>
    <row r="1111" spans="1:6" ht="12.75">
      <c r="A1111" s="39">
        <f t="shared" si="45"/>
        <v>51672</v>
      </c>
      <c r="B1111" s="40">
        <v>51672</v>
      </c>
      <c r="C1111" s="65">
        <f t="shared" si="47"/>
        <v>0</v>
      </c>
      <c r="E1111" s="3" t="str">
        <f t="shared" si="46"/>
        <v>2Q2041</v>
      </c>
      <c r="F1111" s="49" t="str">
        <f>+F1110</f>
        <v>N/A</v>
      </c>
    </row>
    <row r="1112" spans="1:6" ht="12.75">
      <c r="A1112" s="39">
        <f t="shared" si="45"/>
        <v>51702</v>
      </c>
      <c r="B1112" s="40">
        <v>51702</v>
      </c>
      <c r="C1112" s="65">
        <f t="shared" si="47"/>
        <v>0</v>
      </c>
      <c r="E1112" s="3" t="str">
        <f t="shared" si="46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5"/>
        <v>51733</v>
      </c>
      <c r="B1113" s="46">
        <v>51733</v>
      </c>
      <c r="C1113" s="65">
        <f t="shared" si="47"/>
        <v>0</v>
      </c>
      <c r="E1113" s="3" t="str">
        <f t="shared" si="46"/>
        <v>3Q2041</v>
      </c>
      <c r="F1113" s="49" t="str">
        <f>+F1112</f>
        <v>N/A</v>
      </c>
    </row>
    <row r="1114" spans="1:6" ht="12.75">
      <c r="A1114" s="39">
        <f t="shared" si="45"/>
        <v>51764</v>
      </c>
      <c r="B1114" s="40">
        <v>51764</v>
      </c>
      <c r="C1114" s="65">
        <f t="shared" si="47"/>
        <v>0</v>
      </c>
      <c r="E1114" s="3" t="str">
        <f t="shared" si="46"/>
        <v>3Q2041</v>
      </c>
      <c r="F1114" s="49" t="str">
        <f>+F1113</f>
        <v>N/A</v>
      </c>
    </row>
    <row r="1115" spans="1:6" ht="12.75">
      <c r="A1115" s="39">
        <f t="shared" si="45"/>
        <v>51794</v>
      </c>
      <c r="B1115" s="40">
        <v>51794</v>
      </c>
      <c r="C1115" s="65">
        <f t="shared" si="47"/>
        <v>0</v>
      </c>
      <c r="E1115" s="3" t="str">
        <f t="shared" si="46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5"/>
        <v>51825</v>
      </c>
      <c r="B1116" s="46">
        <v>51825</v>
      </c>
      <c r="C1116" s="65">
        <f t="shared" si="47"/>
        <v>0</v>
      </c>
      <c r="E1116" s="3" t="str">
        <f t="shared" si="46"/>
        <v>4Q2041</v>
      </c>
      <c r="F1116" s="49" t="str">
        <f>+F1115</f>
        <v>N/A</v>
      </c>
    </row>
    <row r="1117" spans="1:6" ht="12.75">
      <c r="A1117" s="39">
        <f t="shared" si="45"/>
        <v>51855</v>
      </c>
      <c r="B1117" s="40">
        <v>51855</v>
      </c>
      <c r="C1117" s="65">
        <f t="shared" si="47"/>
        <v>0</v>
      </c>
      <c r="E1117" s="3" t="str">
        <f t="shared" si="46"/>
        <v>4Q2041</v>
      </c>
      <c r="F1117" s="49" t="str">
        <f>+F1116</f>
        <v>N/A</v>
      </c>
    </row>
    <row r="1118" spans="1:6" ht="12.75">
      <c r="A1118" s="39">
        <f t="shared" si="45"/>
        <v>51886</v>
      </c>
      <c r="B1118" s="40">
        <v>51886</v>
      </c>
      <c r="C1118" s="65">
        <f t="shared" si="47"/>
        <v>0</v>
      </c>
      <c r="E1118" s="3" t="str">
        <f t="shared" si="46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5"/>
        <v>51917</v>
      </c>
      <c r="B1119" s="46">
        <v>51917</v>
      </c>
      <c r="C1119" s="65">
        <f t="shared" si="47"/>
        <v>0</v>
      </c>
      <c r="E1119" s="3" t="str">
        <f t="shared" si="46"/>
        <v>1Q2042</v>
      </c>
      <c r="F1119" s="49" t="str">
        <f>+F1118</f>
        <v>N/A</v>
      </c>
    </row>
    <row r="1120" spans="1:6" ht="12.75">
      <c r="A1120" s="39">
        <f t="shared" si="45"/>
        <v>51945</v>
      </c>
      <c r="B1120" s="40">
        <v>51945</v>
      </c>
      <c r="C1120" s="65">
        <f t="shared" si="47"/>
        <v>0</v>
      </c>
      <c r="E1120" s="3" t="str">
        <f t="shared" si="46"/>
        <v>1Q2042</v>
      </c>
      <c r="F1120" s="49" t="str">
        <f>+F1119</f>
        <v>N/A</v>
      </c>
    </row>
    <row r="1121" spans="1:6" ht="12.75">
      <c r="A1121" s="39">
        <f t="shared" si="45"/>
        <v>51976</v>
      </c>
      <c r="B1121" s="40">
        <v>51976</v>
      </c>
      <c r="C1121" s="65">
        <f t="shared" si="47"/>
        <v>0</v>
      </c>
      <c r="E1121" s="3" t="str">
        <f t="shared" si="46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5"/>
        <v>52006</v>
      </c>
      <c r="B1122" s="46">
        <v>52006</v>
      </c>
      <c r="C1122" s="65">
        <f t="shared" si="47"/>
        <v>0</v>
      </c>
      <c r="E1122" s="3" t="str">
        <f t="shared" si="46"/>
        <v>2Q2042</v>
      </c>
      <c r="F1122" s="49" t="str">
        <f>+F1121</f>
        <v>N/A</v>
      </c>
    </row>
    <row r="1123" spans="1:6" ht="12.75">
      <c r="A1123" s="39">
        <f t="shared" si="45"/>
        <v>52037</v>
      </c>
      <c r="B1123" s="40">
        <v>52037</v>
      </c>
      <c r="C1123" s="65">
        <f t="shared" si="47"/>
        <v>0</v>
      </c>
      <c r="E1123" s="3" t="str">
        <f t="shared" si="46"/>
        <v>2Q2042</v>
      </c>
      <c r="F1123" s="49" t="str">
        <f>+F1122</f>
        <v>N/A</v>
      </c>
    </row>
    <row r="1124" spans="1:6" ht="12.75">
      <c r="A1124" s="39">
        <f t="shared" si="45"/>
        <v>52067</v>
      </c>
      <c r="B1124" s="40">
        <v>52067</v>
      </c>
      <c r="C1124" s="65">
        <f t="shared" si="47"/>
        <v>0</v>
      </c>
      <c r="E1124" s="3" t="str">
        <f t="shared" si="46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5"/>
        <v>52098</v>
      </c>
      <c r="B1125" s="46">
        <v>52098</v>
      </c>
      <c r="C1125" s="65">
        <f t="shared" si="47"/>
        <v>0</v>
      </c>
      <c r="E1125" s="3" t="str">
        <f t="shared" si="46"/>
        <v>3Q2042</v>
      </c>
      <c r="F1125" s="49" t="str">
        <f>+F1124</f>
        <v>N/A</v>
      </c>
    </row>
    <row r="1126" spans="1:6" ht="12.75">
      <c r="A1126" s="39">
        <f t="shared" si="45"/>
        <v>52129</v>
      </c>
      <c r="B1126" s="40">
        <v>52129</v>
      </c>
      <c r="C1126" s="65">
        <f t="shared" si="47"/>
        <v>0</v>
      </c>
      <c r="E1126" s="3" t="str">
        <f t="shared" si="46"/>
        <v>3Q2042</v>
      </c>
      <c r="F1126" s="49" t="str">
        <f>+F1125</f>
        <v>N/A</v>
      </c>
    </row>
    <row r="1127" spans="1:6" ht="12.75">
      <c r="A1127" s="39">
        <f t="shared" si="45"/>
        <v>52159</v>
      </c>
      <c r="B1127" s="40">
        <v>52159</v>
      </c>
      <c r="C1127" s="65">
        <f t="shared" si="47"/>
        <v>0</v>
      </c>
      <c r="E1127" s="3" t="str">
        <f t="shared" si="46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5"/>
        <v>52190</v>
      </c>
      <c r="B1128" s="46">
        <v>52190</v>
      </c>
      <c r="C1128" s="65">
        <f t="shared" si="47"/>
        <v>0</v>
      </c>
      <c r="E1128" s="3" t="str">
        <f t="shared" si="46"/>
        <v>4Q2042</v>
      </c>
      <c r="F1128" s="49" t="str">
        <f>+F1127</f>
        <v>N/A</v>
      </c>
    </row>
    <row r="1129" spans="1:6" ht="12.75">
      <c r="A1129" s="39">
        <f t="shared" si="45"/>
        <v>52220</v>
      </c>
      <c r="B1129" s="40">
        <v>52220</v>
      </c>
      <c r="C1129" s="65">
        <f t="shared" si="47"/>
        <v>0</v>
      </c>
      <c r="E1129" s="3" t="str">
        <f t="shared" si="46"/>
        <v>4Q2042</v>
      </c>
      <c r="F1129" s="49" t="str">
        <f>+F1128</f>
        <v>N/A</v>
      </c>
    </row>
    <row r="1130" spans="1:6" ht="12.75">
      <c r="A1130" s="39">
        <f t="shared" si="45"/>
        <v>52251</v>
      </c>
      <c r="B1130" s="40">
        <v>52251</v>
      </c>
      <c r="C1130" s="65">
        <f t="shared" si="47"/>
        <v>0</v>
      </c>
      <c r="E1130" s="3" t="str">
        <f t="shared" si="46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5"/>
        <v>52282</v>
      </c>
      <c r="B1131" s="46">
        <v>52282</v>
      </c>
      <c r="C1131" s="65">
        <f t="shared" si="47"/>
        <v>0</v>
      </c>
      <c r="E1131" s="3" t="str">
        <f t="shared" si="46"/>
        <v>1Q2043</v>
      </c>
      <c r="F1131" s="49" t="str">
        <f>+F1130</f>
        <v>N/A</v>
      </c>
    </row>
    <row r="1132" spans="1:6" ht="12.75">
      <c r="A1132" s="39">
        <f t="shared" si="45"/>
        <v>52310</v>
      </c>
      <c r="B1132" s="40">
        <v>52310</v>
      </c>
      <c r="C1132" s="65">
        <f t="shared" si="47"/>
        <v>0</v>
      </c>
      <c r="E1132" s="3" t="str">
        <f t="shared" si="46"/>
        <v>1Q2043</v>
      </c>
      <c r="F1132" s="49" t="str">
        <f>+F1131</f>
        <v>N/A</v>
      </c>
    </row>
    <row r="1133" spans="1:6" ht="12.75">
      <c r="A1133" s="39">
        <f t="shared" si="45"/>
        <v>52341</v>
      </c>
      <c r="B1133" s="40">
        <v>52341</v>
      </c>
      <c r="C1133" s="65">
        <f t="shared" si="47"/>
        <v>0</v>
      </c>
      <c r="E1133" s="3" t="str">
        <f t="shared" si="46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5"/>
        <v>52371</v>
      </c>
      <c r="B1134" s="46">
        <v>52371</v>
      </c>
      <c r="C1134" s="65">
        <f t="shared" si="47"/>
        <v>0</v>
      </c>
      <c r="E1134" s="3" t="str">
        <f t="shared" si="46"/>
        <v>2Q2043</v>
      </c>
      <c r="F1134" s="49" t="str">
        <f>+F1133</f>
        <v>N/A</v>
      </c>
    </row>
    <row r="1135" spans="1:6" ht="12.75">
      <c r="A1135" s="39">
        <f t="shared" si="45"/>
        <v>52402</v>
      </c>
      <c r="B1135" s="40">
        <v>52402</v>
      </c>
      <c r="C1135" s="65">
        <f t="shared" si="47"/>
        <v>0</v>
      </c>
      <c r="E1135" s="3" t="str">
        <f t="shared" si="46"/>
        <v>2Q2043</v>
      </c>
      <c r="F1135" s="49" t="str">
        <f>+F1134</f>
        <v>N/A</v>
      </c>
    </row>
    <row r="1136" spans="1:6" ht="12.75">
      <c r="A1136" s="39">
        <f t="shared" si="45"/>
        <v>52432</v>
      </c>
      <c r="B1136" s="40">
        <v>52432</v>
      </c>
      <c r="C1136" s="65">
        <f t="shared" si="47"/>
        <v>0</v>
      </c>
      <c r="E1136" s="3" t="str">
        <f t="shared" si="46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5"/>
        <v>52463</v>
      </c>
      <c r="B1137" s="46">
        <v>52463</v>
      </c>
      <c r="C1137" s="65">
        <f t="shared" si="47"/>
        <v>0</v>
      </c>
      <c r="E1137" s="3" t="str">
        <f t="shared" si="46"/>
        <v>3Q2043</v>
      </c>
      <c r="F1137" s="49" t="str">
        <f>+F1136</f>
        <v>N/A</v>
      </c>
    </row>
    <row r="1138" spans="1:6" ht="12.75">
      <c r="A1138" s="39">
        <f t="shared" si="45"/>
        <v>52494</v>
      </c>
      <c r="B1138" s="40">
        <v>52494</v>
      </c>
      <c r="C1138" s="65">
        <f t="shared" si="47"/>
        <v>0</v>
      </c>
      <c r="E1138" s="3" t="str">
        <f t="shared" si="46"/>
        <v>3Q2043</v>
      </c>
      <c r="F1138" s="49" t="str">
        <f>+F1137</f>
        <v>N/A</v>
      </c>
    </row>
    <row r="1139" spans="1:6" ht="12.75">
      <c r="A1139" s="39">
        <f t="shared" si="45"/>
        <v>52524</v>
      </c>
      <c r="B1139" s="40">
        <v>52524</v>
      </c>
      <c r="C1139" s="65">
        <f t="shared" si="47"/>
        <v>0</v>
      </c>
      <c r="E1139" s="3" t="str">
        <f t="shared" si="46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5"/>
        <v>52555</v>
      </c>
      <c r="B1140" s="46">
        <v>52555</v>
      </c>
      <c r="C1140" s="65">
        <f t="shared" si="47"/>
        <v>0</v>
      </c>
      <c r="E1140" s="3" t="str">
        <f t="shared" si="46"/>
        <v>4Q2043</v>
      </c>
      <c r="F1140" s="49" t="str">
        <f>+F1139</f>
        <v>N/A</v>
      </c>
    </row>
    <row r="1141" spans="1:6" ht="12.75">
      <c r="A1141" s="39">
        <f t="shared" si="45"/>
        <v>52585</v>
      </c>
      <c r="B1141" s="40">
        <v>52585</v>
      </c>
      <c r="C1141" s="65">
        <f t="shared" si="47"/>
        <v>0</v>
      </c>
      <c r="E1141" s="3" t="str">
        <f t="shared" si="46"/>
        <v>4Q2043</v>
      </c>
      <c r="F1141" s="49" t="str">
        <f>+F1140</f>
        <v>N/A</v>
      </c>
    </row>
    <row r="1142" spans="1:6" ht="12.75">
      <c r="A1142" s="39">
        <f t="shared" si="45"/>
        <v>52616</v>
      </c>
      <c r="B1142" s="40">
        <v>52616</v>
      </c>
      <c r="C1142" s="65">
        <f t="shared" si="47"/>
        <v>0</v>
      </c>
      <c r="E1142" s="3" t="str">
        <f t="shared" si="46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5"/>
        <v>52647</v>
      </c>
      <c r="B1143" s="46">
        <v>52647</v>
      </c>
      <c r="C1143" s="65">
        <f t="shared" si="47"/>
        <v>0</v>
      </c>
      <c r="E1143" s="3" t="str">
        <f t="shared" si="46"/>
        <v>1Q2044</v>
      </c>
      <c r="F1143" s="49" t="str">
        <f>+F1142</f>
        <v>N/A</v>
      </c>
    </row>
    <row r="1144" spans="1:6" ht="12.75">
      <c r="A1144" s="39">
        <f t="shared" si="45"/>
        <v>52676</v>
      </c>
      <c r="B1144" s="40">
        <v>52676</v>
      </c>
      <c r="C1144" s="65">
        <f t="shared" si="47"/>
        <v>0</v>
      </c>
      <c r="E1144" s="3" t="str">
        <f t="shared" si="46"/>
        <v>1Q2044</v>
      </c>
      <c r="F1144" s="49" t="str">
        <f>+F1143</f>
        <v>N/A</v>
      </c>
    </row>
    <row r="1145" spans="1:6" ht="12.75">
      <c r="A1145" s="39">
        <f t="shared" si="45"/>
        <v>52707</v>
      </c>
      <c r="B1145" s="40">
        <v>52707</v>
      </c>
      <c r="C1145" s="65">
        <f t="shared" si="47"/>
        <v>0</v>
      </c>
      <c r="E1145" s="3" t="str">
        <f t="shared" si="46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5"/>
        <v>52737</v>
      </c>
      <c r="B1146" s="46">
        <v>52737</v>
      </c>
      <c r="C1146" s="65">
        <f t="shared" si="47"/>
        <v>0</v>
      </c>
      <c r="E1146" s="3" t="str">
        <f t="shared" si="46"/>
        <v>2Q2044</v>
      </c>
      <c r="F1146" s="49" t="str">
        <f>+F1145</f>
        <v>N/A</v>
      </c>
    </row>
    <row r="1147" spans="1:6" ht="12.75">
      <c r="A1147" s="39">
        <f t="shared" si="45"/>
        <v>52768</v>
      </c>
      <c r="B1147" s="40">
        <v>52768</v>
      </c>
      <c r="C1147" s="65">
        <f t="shared" si="47"/>
        <v>0</v>
      </c>
      <c r="E1147" s="3" t="str">
        <f t="shared" si="46"/>
        <v>2Q2044</v>
      </c>
      <c r="F1147" s="49" t="str">
        <f>+F1146</f>
        <v>N/A</v>
      </c>
    </row>
    <row r="1148" spans="1:6" ht="12.75">
      <c r="A1148" s="39">
        <f t="shared" si="45"/>
        <v>52798</v>
      </c>
      <c r="B1148" s="40">
        <v>52798</v>
      </c>
      <c r="C1148" s="65">
        <f t="shared" si="47"/>
        <v>0</v>
      </c>
      <c r="E1148" s="3" t="str">
        <f t="shared" si="46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5"/>
        <v>52829</v>
      </c>
      <c r="B1149" s="46">
        <v>52829</v>
      </c>
      <c r="C1149" s="65">
        <f t="shared" si="47"/>
        <v>0</v>
      </c>
      <c r="E1149" s="3" t="str">
        <f t="shared" si="46"/>
        <v>3Q2044</v>
      </c>
      <c r="F1149" s="49" t="str">
        <f>+F1148</f>
        <v>N/A</v>
      </c>
    </row>
    <row r="1150" spans="1:6" ht="12.75">
      <c r="A1150" s="39">
        <f t="shared" si="45"/>
        <v>52860</v>
      </c>
      <c r="B1150" s="40">
        <v>52860</v>
      </c>
      <c r="C1150" s="65">
        <f t="shared" si="47"/>
        <v>0</v>
      </c>
      <c r="E1150" s="3" t="str">
        <f t="shared" si="46"/>
        <v>3Q2044</v>
      </c>
      <c r="F1150" s="49" t="str">
        <f>+F1149</f>
        <v>N/A</v>
      </c>
    </row>
    <row r="1151" spans="1:6" ht="12.75">
      <c r="A1151" s="39">
        <f t="shared" si="45"/>
        <v>52890</v>
      </c>
      <c r="B1151" s="40">
        <v>52890</v>
      </c>
      <c r="C1151" s="65">
        <f t="shared" si="47"/>
        <v>0</v>
      </c>
      <c r="E1151" s="3" t="str">
        <f t="shared" si="46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5"/>
        <v>52921</v>
      </c>
      <c r="B1152" s="46">
        <v>52921</v>
      </c>
      <c r="C1152" s="65">
        <f t="shared" si="47"/>
        <v>0</v>
      </c>
      <c r="E1152" s="3" t="str">
        <f t="shared" si="46"/>
        <v>4Q2044</v>
      </c>
      <c r="F1152" s="49" t="str">
        <f>+F1151</f>
        <v>N/A</v>
      </c>
    </row>
    <row r="1153" spans="1:6" ht="12.75">
      <c r="A1153" s="39">
        <f t="shared" si="45"/>
        <v>52951</v>
      </c>
      <c r="B1153" s="40">
        <v>52951</v>
      </c>
      <c r="C1153" s="65">
        <f t="shared" si="47"/>
        <v>0</v>
      </c>
      <c r="E1153" s="3" t="str">
        <f t="shared" si="46"/>
        <v>4Q2044</v>
      </c>
      <c r="F1153" s="49" t="str">
        <f>+F1152</f>
        <v>N/A</v>
      </c>
    </row>
    <row r="1154" spans="1:6" ht="12.75">
      <c r="A1154" s="39">
        <f t="shared" si="45"/>
        <v>52982</v>
      </c>
      <c r="B1154" s="40">
        <v>52982</v>
      </c>
      <c r="C1154" s="65">
        <f t="shared" si="47"/>
        <v>0</v>
      </c>
      <c r="E1154" s="3" t="str">
        <f t="shared" si="46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5"/>
        <v>53013</v>
      </c>
      <c r="B1155" s="46">
        <v>53013</v>
      </c>
      <c r="C1155" s="65">
        <f t="shared" si="47"/>
        <v>0</v>
      </c>
      <c r="E1155" s="3" t="str">
        <f t="shared" si="46"/>
        <v>1Q2045</v>
      </c>
      <c r="F1155" s="49" t="str">
        <f>+F1154</f>
        <v>N/A</v>
      </c>
    </row>
    <row r="1156" spans="1:6" ht="12.75">
      <c r="A1156" s="39">
        <f t="shared" si="45"/>
        <v>53041</v>
      </c>
      <c r="B1156" s="40">
        <v>53041</v>
      </c>
      <c r="C1156" s="65">
        <f t="shared" si="47"/>
        <v>0</v>
      </c>
      <c r="E1156" s="3" t="str">
        <f t="shared" si="46"/>
        <v>1Q2045</v>
      </c>
      <c r="F1156" s="49" t="str">
        <f>+F1155</f>
        <v>N/A</v>
      </c>
    </row>
    <row r="1157" spans="1:6" ht="12.75">
      <c r="A1157" s="39">
        <f aca="true" t="shared" si="48" ref="A1157:A1165">+B1157</f>
        <v>53072</v>
      </c>
      <c r="B1157" s="40">
        <v>53072</v>
      </c>
      <c r="C1157" s="65">
        <f t="shared" si="47"/>
        <v>0</v>
      </c>
      <c r="E1157" s="3" t="str">
        <f t="shared" si="46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8"/>
        <v>53102</v>
      </c>
      <c r="B1158" s="46">
        <v>53102</v>
      </c>
      <c r="C1158" s="65">
        <f t="shared" si="47"/>
        <v>0</v>
      </c>
      <c r="E1158" s="3" t="str">
        <f t="shared" si="46"/>
        <v>2Q2045</v>
      </c>
      <c r="F1158" s="49" t="str">
        <f>+F1157</f>
        <v>N/A</v>
      </c>
    </row>
    <row r="1159" spans="1:6" ht="12.75">
      <c r="A1159" s="39">
        <f t="shared" si="48"/>
        <v>53133</v>
      </c>
      <c r="B1159" s="40">
        <v>53133</v>
      </c>
      <c r="C1159" s="65">
        <f t="shared" si="47"/>
        <v>0</v>
      </c>
      <c r="E1159" s="3" t="str">
        <f t="shared" si="46"/>
        <v>2Q2045</v>
      </c>
      <c r="F1159" s="49" t="str">
        <f>+F1158</f>
        <v>N/A</v>
      </c>
    </row>
    <row r="1160" spans="1:6" ht="12.75">
      <c r="A1160" s="39">
        <f t="shared" si="48"/>
        <v>53163</v>
      </c>
      <c r="B1160" s="40">
        <v>53163</v>
      </c>
      <c r="C1160" s="65">
        <f t="shared" si="47"/>
        <v>0</v>
      </c>
      <c r="E1160" s="3" t="str">
        <f t="shared" si="46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8"/>
        <v>53194</v>
      </c>
      <c r="B1161" s="46">
        <v>53194</v>
      </c>
      <c r="C1161" s="65">
        <f t="shared" si="47"/>
        <v>0</v>
      </c>
      <c r="E1161" s="3" t="str">
        <f t="shared" si="46"/>
        <v>3Q2045</v>
      </c>
      <c r="F1161" s="49" t="str">
        <f>+F1160</f>
        <v>N/A</v>
      </c>
    </row>
    <row r="1162" spans="1:6" ht="12.75">
      <c r="A1162" s="39">
        <f t="shared" si="48"/>
        <v>53225</v>
      </c>
      <c r="B1162" s="40">
        <v>53225</v>
      </c>
      <c r="C1162" s="65">
        <f t="shared" si="47"/>
        <v>0</v>
      </c>
      <c r="E1162" s="3" t="str">
        <f t="shared" si="46"/>
        <v>3Q2045</v>
      </c>
      <c r="F1162" s="49" t="str">
        <f>+F1161</f>
        <v>N/A</v>
      </c>
    </row>
    <row r="1163" spans="1:6" ht="12.75">
      <c r="A1163" s="39">
        <f t="shared" si="48"/>
        <v>53255</v>
      </c>
      <c r="B1163" s="40">
        <v>53255</v>
      </c>
      <c r="C1163" s="65">
        <f t="shared" si="47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8"/>
        <v>53286</v>
      </c>
      <c r="B1164" s="46">
        <v>53286</v>
      </c>
      <c r="C1164" s="65">
        <f t="shared" si="47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8"/>
        <v>53316</v>
      </c>
      <c r="B1165" s="40">
        <v>53316</v>
      </c>
      <c r="C1165" s="65">
        <f t="shared" si="47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2012-05-14T14:23:32Z</cp:lastPrinted>
  <dcterms:created xsi:type="dcterms:W3CDTF">2009-09-04T18:19:13Z</dcterms:created>
  <dcterms:modified xsi:type="dcterms:W3CDTF">2014-05-20T18:17:23Z</dcterms:modified>
  <cp:category/>
  <cp:version/>
  <cp:contentType/>
  <cp:contentStatus/>
</cp:coreProperties>
</file>